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35" windowWidth="20055" windowHeight="7170" tabRatio="599" firstSheet="50" activeTab="57"/>
  </bookViews>
  <sheets>
    <sheet name="грудень 2017" sheetId="33" r:id="rId1"/>
    <sheet name="січень 2018" sheetId="34" r:id="rId2"/>
    <sheet name="лютий" sheetId="35" r:id="rId3"/>
    <sheet name="березень" sheetId="36" r:id="rId4"/>
    <sheet name="квітень" sheetId="37" r:id="rId5"/>
    <sheet name="травень" sheetId="38" r:id="rId6"/>
    <sheet name="червень" sheetId="39" r:id="rId7"/>
    <sheet name="липень" sheetId="40" r:id="rId8"/>
    <sheet name="серпень базова" sheetId="41" r:id="rId9"/>
    <sheet name="вересень" sheetId="42" r:id="rId10"/>
    <sheet name="29.09-05.10" sheetId="43" r:id="rId11"/>
    <sheet name="06.10-12.10" sheetId="44" r:id="rId12"/>
    <sheet name="13.10-19.10" sheetId="45" r:id="rId13"/>
    <sheet name="20.10-26.10" sheetId="46" r:id="rId14"/>
    <sheet name="27.10-02.11" sheetId="47" r:id="rId15"/>
    <sheet name="03.11-09.11" sheetId="48" r:id="rId16"/>
    <sheet name="10.11-15.11" sheetId="49" r:id="rId17"/>
    <sheet name="16.11-23.11" sheetId="50" r:id="rId18"/>
    <sheet name="24.11-30.11" sheetId="51" r:id="rId19"/>
    <sheet name="01.12-07.12" sheetId="52" r:id="rId20"/>
    <sheet name="08.12-13.12" sheetId="53" r:id="rId21"/>
    <sheet name="14.12-20.12" sheetId="54" r:id="rId22"/>
    <sheet name="21.12-27.12" sheetId="55" r:id="rId23"/>
    <sheet name="28.12-18.01" sheetId="56" r:id="rId24"/>
    <sheet name="19.01-25.01" sheetId="57" r:id="rId25"/>
    <sheet name="26.01-01.02" sheetId="58" r:id="rId26"/>
    <sheet name="02.02-08.02" sheetId="59" r:id="rId27"/>
    <sheet name="09.02-15.02" sheetId="60" r:id="rId28"/>
    <sheet name="16.02-22.02" sheetId="61" r:id="rId29"/>
    <sheet name="23.02-01.03" sheetId="62" r:id="rId30"/>
    <sheet name="01.03-07.03" sheetId="63" r:id="rId31"/>
    <sheet name="08.03-15.03" sheetId="64" r:id="rId32"/>
    <sheet name="16.03-22.03" sheetId="65" r:id="rId33"/>
    <sheet name="22-29.03" sheetId="66" r:id="rId34"/>
    <sheet name="30.03-05.04" sheetId="67" r:id="rId35"/>
    <sheet name="06-12.04" sheetId="68" r:id="rId36"/>
    <sheet name="13-19.04" sheetId="69" r:id="rId37"/>
    <sheet name="20-27,04" sheetId="70" r:id="rId38"/>
    <sheet name="28.04-03.05" sheetId="71" r:id="rId39"/>
    <sheet name="04-10.05" sheetId="72" r:id="rId40"/>
    <sheet name="11-17.05" sheetId="73" r:id="rId41"/>
    <sheet name="18-24.05" sheetId="74" r:id="rId42"/>
    <sheet name="25-31.05" sheetId="75" r:id="rId43"/>
    <sheet name="01.06-07.06" sheetId="76" r:id="rId44"/>
    <sheet name="08-14.06" sheetId="77" r:id="rId45"/>
    <sheet name="15-31.06" sheetId="78" r:id="rId46"/>
    <sheet name="01.07-31.07" sheetId="79" r:id="rId47"/>
    <sheet name="01.08-09.08" sheetId="80" r:id="rId48"/>
    <sheet name="10.08-23.08" sheetId="81" r:id="rId49"/>
    <sheet name="24.08-06.09" sheetId="82" r:id="rId50"/>
    <sheet name="07.09-13.09" sheetId="83" r:id="rId51"/>
    <sheet name="14-30.09" sheetId="84" r:id="rId52"/>
    <sheet name="01.10-11.10" sheetId="85" r:id="rId53"/>
    <sheet name="12-18.10" sheetId="86" r:id="rId54"/>
    <sheet name="19-25.10" sheetId="87" r:id="rId55"/>
    <sheet name="01.11-15.11" sheetId="88" r:id="rId56"/>
    <sheet name="16-30.11" sheetId="89" r:id="rId57"/>
    <sheet name="01-06.12" sheetId="90" r:id="rId58"/>
  </sheets>
  <definedNames>
    <definedName name="_xlnm.Print_Area" localSheetId="30">'01.03-07.03'!$C$1:$AV$98</definedName>
    <definedName name="_xlnm.Print_Area" localSheetId="43">'01.06-07.06'!$C$1:$AV$103</definedName>
    <definedName name="_xlnm.Print_Area" localSheetId="46">'01.07-31.07'!$C$1:$AV$108</definedName>
    <definedName name="_xlnm.Print_Area" localSheetId="47">'01.08-09.08'!$C$1:$AV$108</definedName>
    <definedName name="_xlnm.Print_Area" localSheetId="52">'01.10-11.10'!$C$1:$AV$109</definedName>
    <definedName name="_xlnm.Print_Area" localSheetId="55">'01.11-15.11'!$C$1:$AV$125</definedName>
    <definedName name="_xlnm.Print_Area" localSheetId="19">'01.12-07.12'!$C$1:$AV$107</definedName>
    <definedName name="_xlnm.Print_Area" localSheetId="57">'01-06.12'!$C$1:$AV$125</definedName>
    <definedName name="_xlnm.Print_Area" localSheetId="26">'02.02-08.02'!$C$1:$AV$95</definedName>
    <definedName name="_xlnm.Print_Area" localSheetId="15">'03.11-09.11'!$C$1:$AV$100</definedName>
    <definedName name="_xlnm.Print_Area" localSheetId="39">'04-10.05'!$C$1:$AV$101</definedName>
    <definedName name="_xlnm.Print_Area" localSheetId="11">'06.10-12.10'!$C$1:$AV$100</definedName>
    <definedName name="_xlnm.Print_Area" localSheetId="35">'06-12.04'!$C$1:$AV$99</definedName>
    <definedName name="_xlnm.Print_Area" localSheetId="50">'07.09-13.09'!$C$1:$AV$109</definedName>
    <definedName name="_xlnm.Print_Area" localSheetId="31">'08.03-15.03'!$C$1:$AV$98</definedName>
    <definedName name="_xlnm.Print_Area" localSheetId="20">'08.12-13.12'!$C$1:$AV$107</definedName>
    <definedName name="_xlnm.Print_Area" localSheetId="44">'08-14.06'!$C$1:$AV$103</definedName>
    <definedName name="_xlnm.Print_Area" localSheetId="27">'09.02-15.02'!$C$1:$AV$95</definedName>
    <definedName name="_xlnm.Print_Area" localSheetId="48">'10.08-23.08'!$C$1:$AV$109</definedName>
    <definedName name="_xlnm.Print_Area" localSheetId="16">'10.11-15.11'!$C$1:$AV$100</definedName>
    <definedName name="_xlnm.Print_Area" localSheetId="40">'11-17.05'!$C$1:$AV$103</definedName>
    <definedName name="_xlnm.Print_Area" localSheetId="53">'12-18.10'!$C$1:$AV$114</definedName>
    <definedName name="_xlnm.Print_Area" localSheetId="12">'13.10-19.10'!$C$1:$AV$100</definedName>
    <definedName name="_xlnm.Print_Area" localSheetId="36">'13-19.04'!$C$1:$AV$99</definedName>
    <definedName name="_xlnm.Print_Area" localSheetId="21">'14.12-20.12'!$C$1:$AV$107</definedName>
    <definedName name="_xlnm.Print_Area" localSheetId="51">'14-30.09'!$C$1:$AV$109</definedName>
    <definedName name="_xlnm.Print_Area" localSheetId="45">'15-31.06'!$C$1:$AV$103</definedName>
    <definedName name="_xlnm.Print_Area" localSheetId="28">'16.02-22.02'!$C$1:$AV$93</definedName>
    <definedName name="_xlnm.Print_Area" localSheetId="32">'16.03-22.03'!$C$1:$AV$99</definedName>
    <definedName name="_xlnm.Print_Area" localSheetId="17">'16.11-23.11'!$C$1:$AV$104</definedName>
    <definedName name="_xlnm.Print_Area" localSheetId="56">'16-30.11'!$C$1:$AV$125</definedName>
    <definedName name="_xlnm.Print_Area" localSheetId="41">'18-24.05'!$C$1:$AV$103</definedName>
    <definedName name="_xlnm.Print_Area" localSheetId="24">'19.01-25.01'!$C$1:$AV$95</definedName>
    <definedName name="_xlnm.Print_Area" localSheetId="54">'19-25.10'!$C$1:$AV$116</definedName>
    <definedName name="_xlnm.Print_Area" localSheetId="13">'20.10-26.10'!$C$1:$AV$100</definedName>
    <definedName name="_xlnm.Print_Area" localSheetId="37">'20-27,04'!$C$1:$AV$99</definedName>
    <definedName name="_xlnm.Print_Area" localSheetId="22">'21.12-27.12'!$C$1:$AV$107</definedName>
    <definedName name="_xlnm.Print_Area" localSheetId="33">'22-29.03'!$C$1:$AV$99</definedName>
    <definedName name="_xlnm.Print_Area" localSheetId="29">'23.02-01.03'!$C$1:$AV$98</definedName>
    <definedName name="_xlnm.Print_Area" localSheetId="49">'24.08-06.09'!$C$1:$AV$109</definedName>
    <definedName name="_xlnm.Print_Area" localSheetId="18">'24.11-30.11'!$C$1:$AV$104</definedName>
    <definedName name="_xlnm.Print_Area" localSheetId="42">'25-31.05'!$C$1:$AV$103</definedName>
    <definedName name="_xlnm.Print_Area" localSheetId="25">'26.01-01.02'!$C$1:$AV$95</definedName>
    <definedName name="_xlnm.Print_Area" localSheetId="14">'27.10-02.11'!$C$1:$AV$100</definedName>
    <definedName name="_xlnm.Print_Area" localSheetId="38">'28.04-03.05'!$C$1:$AV$101</definedName>
    <definedName name="_xlnm.Print_Area" localSheetId="23">'28.12-18.01'!$C$1:$AV$108</definedName>
    <definedName name="_xlnm.Print_Area" localSheetId="10">'29.09-05.10'!$C$1:$AV$100</definedName>
    <definedName name="_xlnm.Print_Area" localSheetId="34">'30.03-05.04'!$C$1:$AV$99</definedName>
    <definedName name="_xlnm.Print_Area" localSheetId="3">березень!$A$1:$P$72</definedName>
    <definedName name="_xlnm.Print_Area" localSheetId="9">вересень!$C$1:$AV$100</definedName>
    <definedName name="_xlnm.Print_Area" localSheetId="0">'грудень 2017'!$A$1:$P$53</definedName>
    <definedName name="_xlnm.Print_Area" localSheetId="4">квітень!$A$1:$P$82</definedName>
    <definedName name="_xlnm.Print_Area" localSheetId="7">липень!$A$1:$P$99</definedName>
    <definedName name="_xlnm.Print_Area" localSheetId="2">лютий!$A$1:$P$62</definedName>
    <definedName name="_xlnm.Print_Area" localSheetId="8">'серпень базова'!$A$1:$AV$100</definedName>
    <definedName name="_xlnm.Print_Area" localSheetId="1">'січень 2018'!$A$1:$P$57</definedName>
    <definedName name="_xlnm.Print_Area" localSheetId="5">травень!$A$1:$P$92</definedName>
    <definedName name="_xlnm.Print_Area" localSheetId="6">червень!$A$1:$P$92</definedName>
  </definedNames>
  <calcPr calcId="124519" refMode="R1C1"/>
</workbook>
</file>

<file path=xl/calcChain.xml><?xml version="1.0" encoding="utf-8"?>
<calcChain xmlns="http://schemas.openxmlformats.org/spreadsheetml/2006/main">
  <c r="AQ116" i="90"/>
  <c r="AP116"/>
  <c r="AN116"/>
  <c r="AJ116"/>
  <c r="AI116"/>
  <c r="AH116"/>
  <c r="AG116"/>
  <c r="AF116"/>
  <c r="AD116"/>
  <c r="AC116"/>
  <c r="AB116"/>
  <c r="T116"/>
  <c r="R116"/>
  <c r="P116"/>
  <c r="K116"/>
  <c r="AT115"/>
  <c r="AT114"/>
  <c r="AT113"/>
  <c r="AT112"/>
  <c r="AT111"/>
  <c r="AU111" s="1"/>
  <c r="AS111"/>
  <c r="AO111"/>
  <c r="AK111"/>
  <c r="N111"/>
  <c r="M111"/>
  <c r="AU110"/>
  <c r="AT110"/>
  <c r="AS110"/>
  <c r="AK110"/>
  <c r="AO110" s="1"/>
  <c r="M110"/>
  <c r="N110" s="1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U81" s="1"/>
  <c r="AR81"/>
  <c r="AS81" s="1"/>
  <c r="AK81"/>
  <c r="AO81" s="1"/>
  <c r="M81"/>
  <c r="N81" s="1"/>
  <c r="AT80"/>
  <c r="AU80" s="1"/>
  <c r="AR80"/>
  <c r="AS80" s="1"/>
  <c r="AK80"/>
  <c r="AO80" s="1"/>
  <c r="M80"/>
  <c r="N80" s="1"/>
  <c r="AT79"/>
  <c r="AU79" s="1"/>
  <c r="AS79"/>
  <c r="AL79"/>
  <c r="AK79"/>
  <c r="AO79" s="1"/>
  <c r="M79"/>
  <c r="N79" s="1"/>
  <c r="AT78"/>
  <c r="AU77"/>
  <c r="AT77"/>
  <c r="AS77"/>
  <c r="AK77"/>
  <c r="N77"/>
  <c r="M77"/>
  <c r="AU76"/>
  <c r="AT76"/>
  <c r="AS76"/>
  <c r="AK76"/>
  <c r="AO76" s="1"/>
  <c r="M76"/>
  <c r="N76" s="1"/>
  <c r="AT75"/>
  <c r="AU75" s="1"/>
  <c r="AS75"/>
  <c r="AO75"/>
  <c r="AK75"/>
  <c r="N75"/>
  <c r="M75"/>
  <c r="AU74"/>
  <c r="AT74"/>
  <c r="AS74"/>
  <c r="AK74"/>
  <c r="AO74" s="1"/>
  <c r="M74"/>
  <c r="N74" s="1"/>
  <c r="AT73"/>
  <c r="AU73" s="1"/>
  <c r="AS73"/>
  <c r="AO73"/>
  <c r="AK73"/>
  <c r="N73"/>
  <c r="M73"/>
  <c r="AU72"/>
  <c r="AT72"/>
  <c r="AS72"/>
  <c r="AK72"/>
  <c r="AO72" s="1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2"/>
  <c r="AT62"/>
  <c r="AS62"/>
  <c r="AK62"/>
  <c r="AO62" s="1"/>
  <c r="M62"/>
  <c r="N62" s="1"/>
  <c r="AT61"/>
  <c r="AU61" s="1"/>
  <c r="AS61"/>
  <c r="AL61"/>
  <c r="AM61" s="1"/>
  <c r="AO61" s="1"/>
  <c r="AK61"/>
  <c r="N61"/>
  <c r="M61"/>
  <c r="AU60"/>
  <c r="AT60"/>
  <c r="AS60"/>
  <c r="AK60"/>
  <c r="AO60" s="1"/>
  <c r="M60"/>
  <c r="N60" s="1"/>
  <c r="AT59"/>
  <c r="AT58"/>
  <c r="AT57"/>
  <c r="AT56"/>
  <c r="AT55"/>
  <c r="AU54"/>
  <c r="AT54"/>
  <c r="AS54"/>
  <c r="AK54"/>
  <c r="N54"/>
  <c r="M54"/>
  <c r="AU53"/>
  <c r="AT53"/>
  <c r="AS53"/>
  <c r="AM53"/>
  <c r="AL53"/>
  <c r="AK53"/>
  <c r="AO53" s="1"/>
  <c r="M53"/>
  <c r="N53" s="1"/>
  <c r="AT52"/>
  <c r="AT51"/>
  <c r="AT50"/>
  <c r="AT49"/>
  <c r="AT48"/>
  <c r="AT47"/>
  <c r="AT46"/>
  <c r="AT45"/>
  <c r="AT44"/>
  <c r="AT43"/>
  <c r="AT42"/>
  <c r="AT41"/>
  <c r="AT40"/>
  <c r="AT39"/>
  <c r="AT38"/>
  <c r="AU37"/>
  <c r="AT37"/>
  <c r="AS37"/>
  <c r="AK37"/>
  <c r="AO37" s="1"/>
  <c r="M37"/>
  <c r="N37" s="1"/>
  <c r="AT36"/>
  <c r="AT35"/>
  <c r="AT34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U27"/>
  <c r="AT27"/>
  <c r="AS27"/>
  <c r="AK27"/>
  <c r="AO27" s="1"/>
  <c r="M27"/>
  <c r="N27" s="1"/>
  <c r="AT26"/>
  <c r="AU26" s="1"/>
  <c r="AS26"/>
  <c r="AO26"/>
  <c r="AM26"/>
  <c r="AM116" s="1"/>
  <c r="AL26"/>
  <c r="AK26"/>
  <c r="N26"/>
  <c r="M26"/>
  <c r="AU25"/>
  <c r="AS25"/>
  <c r="AO25"/>
  <c r="AK25"/>
  <c r="N25"/>
  <c r="M25"/>
  <c r="AU24"/>
  <c r="AT24"/>
  <c r="AS24"/>
  <c r="AK24"/>
  <c r="AO24" s="1"/>
  <c r="M24"/>
  <c r="N24" s="1"/>
  <c r="AU23"/>
  <c r="AS23"/>
  <c r="AK23"/>
  <c r="AO23" s="1"/>
  <c r="M23"/>
  <c r="N23" s="1"/>
  <c r="AU22"/>
  <c r="AS22"/>
  <c r="AK22"/>
  <c r="AO22" s="1"/>
  <c r="M22"/>
  <c r="N22" s="1"/>
  <c r="AT21"/>
  <c r="AU21" s="1"/>
  <c r="AS21"/>
  <c r="AO21"/>
  <c r="AK21"/>
  <c r="N21"/>
  <c r="M21"/>
  <c r="AU20"/>
  <c r="AT20"/>
  <c r="AS20"/>
  <c r="AK20"/>
  <c r="AO20" s="1"/>
  <c r="AE20"/>
  <c r="AE116" s="1"/>
  <c r="N20"/>
  <c r="M20"/>
  <c r="AU19"/>
  <c r="AT19"/>
  <c r="AS19"/>
  <c r="AK19"/>
  <c r="AO19" s="1"/>
  <c r="M19"/>
  <c r="N19" s="1"/>
  <c r="AT18"/>
  <c r="AU18" s="1"/>
  <c r="AS18"/>
  <c r="AO18"/>
  <c r="AO116" s="1"/>
  <c r="AK18"/>
  <c r="N18"/>
  <c r="M18"/>
  <c r="AV17"/>
  <c r="AV116" s="1"/>
  <c r="AU17"/>
  <c r="AS17"/>
  <c r="AS116" s="1"/>
  <c r="AL17"/>
  <c r="AL116" s="1"/>
  <c r="AK17"/>
  <c r="AK116" s="1"/>
  <c r="M17"/>
  <c r="N17" s="1"/>
  <c r="AQ116" i="89"/>
  <c r="AP116"/>
  <c r="AN116"/>
  <c r="AJ116"/>
  <c r="AI116"/>
  <c r="AH116"/>
  <c r="AG116"/>
  <c r="AF116"/>
  <c r="AD116"/>
  <c r="AC116"/>
  <c r="AB116"/>
  <c r="T116"/>
  <c r="R116"/>
  <c r="P116"/>
  <c r="K116"/>
  <c r="AT115"/>
  <c r="AT114"/>
  <c r="AT113"/>
  <c r="AT112"/>
  <c r="AT111"/>
  <c r="AU111" s="1"/>
  <c r="AS111"/>
  <c r="AO111"/>
  <c r="AK111"/>
  <c r="N111"/>
  <c r="M111"/>
  <c r="AU110"/>
  <c r="AT110"/>
  <c r="AS110"/>
  <c r="AK110"/>
  <c r="AO110" s="1"/>
  <c r="M110"/>
  <c r="N110" s="1"/>
  <c r="AT109"/>
  <c r="AT108"/>
  <c r="AT107"/>
  <c r="AT106"/>
  <c r="AT105"/>
  <c r="AT104"/>
  <c r="AT103"/>
  <c r="AT102"/>
  <c r="AT101"/>
  <c r="AT100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U81" s="1"/>
  <c r="AR81"/>
  <c r="AS81" s="1"/>
  <c r="AK81"/>
  <c r="AO81" s="1"/>
  <c r="M81"/>
  <c r="N81" s="1"/>
  <c r="AT80"/>
  <c r="AU80" s="1"/>
  <c r="AR80"/>
  <c r="AS80" s="1"/>
  <c r="AK80"/>
  <c r="AO80" s="1"/>
  <c r="M80"/>
  <c r="N80" s="1"/>
  <c r="AT79"/>
  <c r="AU79" s="1"/>
  <c r="AS79"/>
  <c r="AL79"/>
  <c r="AK79"/>
  <c r="AO79" s="1"/>
  <c r="M79"/>
  <c r="N79" s="1"/>
  <c r="AT78"/>
  <c r="AU77"/>
  <c r="AT77"/>
  <c r="AS77"/>
  <c r="AK77"/>
  <c r="N77"/>
  <c r="M77"/>
  <c r="AU76"/>
  <c r="AT76"/>
  <c r="AS76"/>
  <c r="AK76"/>
  <c r="AO76" s="1"/>
  <c r="M76"/>
  <c r="N76" s="1"/>
  <c r="AT75"/>
  <c r="AU75" s="1"/>
  <c r="AS75"/>
  <c r="AO75"/>
  <c r="AK75"/>
  <c r="N75"/>
  <c r="M75"/>
  <c r="AU74"/>
  <c r="AT74"/>
  <c r="AS74"/>
  <c r="AK74"/>
  <c r="AO74" s="1"/>
  <c r="M74"/>
  <c r="N74" s="1"/>
  <c r="AT73"/>
  <c r="AU73" s="1"/>
  <c r="AS73"/>
  <c r="AO73"/>
  <c r="AK73"/>
  <c r="N73"/>
  <c r="M73"/>
  <c r="AU72"/>
  <c r="AT72"/>
  <c r="AS72"/>
  <c r="AK72"/>
  <c r="AO72" s="1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2"/>
  <c r="AT62"/>
  <c r="AS62"/>
  <c r="AK62"/>
  <c r="AO62" s="1"/>
  <c r="M62"/>
  <c r="N62" s="1"/>
  <c r="AT61"/>
  <c r="AU61" s="1"/>
  <c r="AS61"/>
  <c r="AL61"/>
  <c r="AM61" s="1"/>
  <c r="AO61" s="1"/>
  <c r="AK61"/>
  <c r="N61"/>
  <c r="M61"/>
  <c r="AU60"/>
  <c r="AT60"/>
  <c r="AS60"/>
  <c r="AK60"/>
  <c r="AO60" s="1"/>
  <c r="M60"/>
  <c r="N60" s="1"/>
  <c r="AT59"/>
  <c r="AT58"/>
  <c r="AT57"/>
  <c r="AT56"/>
  <c r="AT55"/>
  <c r="AU54"/>
  <c r="AT54"/>
  <c r="AS54"/>
  <c r="AK54"/>
  <c r="N54"/>
  <c r="M54"/>
  <c r="AU53"/>
  <c r="AT53"/>
  <c r="AS53"/>
  <c r="AM53"/>
  <c r="AL53"/>
  <c r="AK53"/>
  <c r="AO53" s="1"/>
  <c r="M53"/>
  <c r="N53" s="1"/>
  <c r="AT52"/>
  <c r="AT51"/>
  <c r="AT50"/>
  <c r="AT49"/>
  <c r="AT48"/>
  <c r="AT47"/>
  <c r="AT46"/>
  <c r="AT45"/>
  <c r="AT44"/>
  <c r="AT43"/>
  <c r="AT42"/>
  <c r="AT41"/>
  <c r="AT40"/>
  <c r="AT39"/>
  <c r="AT38"/>
  <c r="AU37"/>
  <c r="AT37"/>
  <c r="AS37"/>
  <c r="AK37"/>
  <c r="AO37" s="1"/>
  <c r="M37"/>
  <c r="N37" s="1"/>
  <c r="AT36"/>
  <c r="AT35"/>
  <c r="AT34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T27"/>
  <c r="AU27" s="1"/>
  <c r="AS27"/>
  <c r="AK27"/>
  <c r="AO27" s="1"/>
  <c r="M27"/>
  <c r="N27" s="1"/>
  <c r="AT26"/>
  <c r="AU26" s="1"/>
  <c r="AS26"/>
  <c r="AO26"/>
  <c r="AM26"/>
  <c r="AM116" s="1"/>
  <c r="AL26"/>
  <c r="AK26"/>
  <c r="N26"/>
  <c r="M26"/>
  <c r="AU25"/>
  <c r="AS25"/>
  <c r="AO25"/>
  <c r="AK25"/>
  <c r="N25"/>
  <c r="M25"/>
  <c r="AU24"/>
  <c r="AT24"/>
  <c r="AS24"/>
  <c r="AK24"/>
  <c r="AO24" s="1"/>
  <c r="M24"/>
  <c r="N24" s="1"/>
  <c r="AU23"/>
  <c r="AS23"/>
  <c r="AK23"/>
  <c r="AO23" s="1"/>
  <c r="M23"/>
  <c r="N23" s="1"/>
  <c r="AU22"/>
  <c r="AS22"/>
  <c r="AK22"/>
  <c r="AO22" s="1"/>
  <c r="M22"/>
  <c r="N22" s="1"/>
  <c r="AT21"/>
  <c r="AU21" s="1"/>
  <c r="AS21"/>
  <c r="AO21"/>
  <c r="AK21"/>
  <c r="N21"/>
  <c r="M21"/>
  <c r="AU20"/>
  <c r="AT20"/>
  <c r="AS20"/>
  <c r="AK20"/>
  <c r="AO20" s="1"/>
  <c r="AE20"/>
  <c r="AE116" s="1"/>
  <c r="N20"/>
  <c r="M20"/>
  <c r="AU19"/>
  <c r="AT19"/>
  <c r="AS19"/>
  <c r="AK19"/>
  <c r="AO19" s="1"/>
  <c r="M19"/>
  <c r="N19" s="1"/>
  <c r="AT18"/>
  <c r="AU18" s="1"/>
  <c r="AS18"/>
  <c r="AO18"/>
  <c r="AO116" s="1"/>
  <c r="AK18"/>
  <c r="N18"/>
  <c r="M18"/>
  <c r="AV17"/>
  <c r="AV116" s="1"/>
  <c r="AU17"/>
  <c r="AS17"/>
  <c r="AS116" s="1"/>
  <c r="AL17"/>
  <c r="AL116" s="1"/>
  <c r="AK17"/>
  <c r="AK116" s="1"/>
  <c r="M17"/>
  <c r="N17" s="1"/>
  <c r="AV116" i="88"/>
  <c r="AT115"/>
  <c r="AT116"/>
  <c r="AJ116"/>
  <c r="AT114"/>
  <c r="AT52"/>
  <c r="AT101"/>
  <c r="AT43"/>
  <c r="AT36"/>
  <c r="AT100"/>
  <c r="AT42"/>
  <c r="AT35"/>
  <c r="AQ116"/>
  <c r="AP116"/>
  <c r="AN116"/>
  <c r="AI116"/>
  <c r="AH116"/>
  <c r="AG116"/>
  <c r="AF116"/>
  <c r="AD116"/>
  <c r="AC116"/>
  <c r="AB116"/>
  <c r="T116"/>
  <c r="R116"/>
  <c r="P116"/>
  <c r="K116"/>
  <c r="AT113"/>
  <c r="AT112"/>
  <c r="AU111"/>
  <c r="AT111"/>
  <c r="AS111"/>
  <c r="AK111"/>
  <c r="AO111" s="1"/>
  <c r="M111"/>
  <c r="N111" s="1"/>
  <c r="AT110"/>
  <c r="AU110" s="1"/>
  <c r="AS110"/>
  <c r="AO110"/>
  <c r="AK110"/>
  <c r="N110"/>
  <c r="M110"/>
  <c r="AT109"/>
  <c r="AT108"/>
  <c r="AT107"/>
  <c r="AT106"/>
  <c r="AT105"/>
  <c r="AT104"/>
  <c r="AT103"/>
  <c r="AT102"/>
  <c r="AT99"/>
  <c r="AT98"/>
  <c r="AT97"/>
  <c r="AT96"/>
  <c r="AT95"/>
  <c r="AT94"/>
  <c r="AT93"/>
  <c r="AT92"/>
  <c r="AT91"/>
  <c r="AT90"/>
  <c r="AT89"/>
  <c r="AT88"/>
  <c r="AT87"/>
  <c r="AT86"/>
  <c r="AT85"/>
  <c r="AT84"/>
  <c r="AT83"/>
  <c r="AT82"/>
  <c r="AU82" s="1"/>
  <c r="AS82"/>
  <c r="AK82"/>
  <c r="AO82" s="1"/>
  <c r="N82"/>
  <c r="M82"/>
  <c r="AT81"/>
  <c r="AR81"/>
  <c r="AU81" s="1"/>
  <c r="AK81"/>
  <c r="AO81" s="1"/>
  <c r="M81"/>
  <c r="N81" s="1"/>
  <c r="AT80"/>
  <c r="AU80" s="1"/>
  <c r="AR80"/>
  <c r="AS80" s="1"/>
  <c r="AK80"/>
  <c r="AO80" s="1"/>
  <c r="M80"/>
  <c r="N80" s="1"/>
  <c r="AT79"/>
  <c r="AU79" s="1"/>
  <c r="AS79"/>
  <c r="AL79"/>
  <c r="AK79"/>
  <c r="AO79" s="1"/>
  <c r="M79"/>
  <c r="N79" s="1"/>
  <c r="AT78"/>
  <c r="AU77"/>
  <c r="AT77"/>
  <c r="AS77"/>
  <c r="AK77"/>
  <c r="M77"/>
  <c r="N77" s="1"/>
  <c r="AT76"/>
  <c r="AU76" s="1"/>
  <c r="AS76"/>
  <c r="AK76"/>
  <c r="AO76" s="1"/>
  <c r="M76"/>
  <c r="N76" s="1"/>
  <c r="AT75"/>
  <c r="AU75" s="1"/>
  <c r="AS75"/>
  <c r="AO75"/>
  <c r="AK75"/>
  <c r="N75"/>
  <c r="M75"/>
  <c r="AU74"/>
  <c r="AT74"/>
  <c r="AS74"/>
  <c r="AK74"/>
  <c r="AO74" s="1"/>
  <c r="M74"/>
  <c r="N74" s="1"/>
  <c r="AT73"/>
  <c r="AU73" s="1"/>
  <c r="AS73"/>
  <c r="AO73"/>
  <c r="AK73"/>
  <c r="N73"/>
  <c r="M73"/>
  <c r="AU72"/>
  <c r="AT72"/>
  <c r="AS72"/>
  <c r="AK72"/>
  <c r="AO72" s="1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2"/>
  <c r="AT62"/>
  <c r="AS62"/>
  <c r="AK62"/>
  <c r="AO62" s="1"/>
  <c r="M62"/>
  <c r="N62" s="1"/>
  <c r="AT61"/>
  <c r="AU61" s="1"/>
  <c r="AS61"/>
  <c r="AL61"/>
  <c r="AM61" s="1"/>
  <c r="AO61" s="1"/>
  <c r="AK61"/>
  <c r="N61"/>
  <c r="M61"/>
  <c r="AU60"/>
  <c r="AT60"/>
  <c r="AS60"/>
  <c r="AK60"/>
  <c r="AO60" s="1"/>
  <c r="M60"/>
  <c r="N60" s="1"/>
  <c r="AT59"/>
  <c r="AT58"/>
  <c r="AT57"/>
  <c r="AT56"/>
  <c r="AT55"/>
  <c r="AU54"/>
  <c r="AT54"/>
  <c r="AS54"/>
  <c r="AK54"/>
  <c r="N54"/>
  <c r="M54"/>
  <c r="AU53"/>
  <c r="AT53"/>
  <c r="AS53"/>
  <c r="AM53"/>
  <c r="AL53"/>
  <c r="AK53"/>
  <c r="AO53" s="1"/>
  <c r="M53"/>
  <c r="N53" s="1"/>
  <c r="AT51"/>
  <c r="AT50"/>
  <c r="AT49"/>
  <c r="AT48"/>
  <c r="AT47"/>
  <c r="AT46"/>
  <c r="AT45"/>
  <c r="AT44"/>
  <c r="AT41"/>
  <c r="AT40"/>
  <c r="AT39"/>
  <c r="AT38"/>
  <c r="AT37"/>
  <c r="AU37" s="1"/>
  <c r="AS37"/>
  <c r="AO37"/>
  <c r="AK37"/>
  <c r="N37"/>
  <c r="M37"/>
  <c r="AT34"/>
  <c r="AT33"/>
  <c r="AT32"/>
  <c r="AT31"/>
  <c r="AU30"/>
  <c r="AT30"/>
  <c r="AS30"/>
  <c r="AK30"/>
  <c r="AO30" s="1"/>
  <c r="M30"/>
  <c r="N30" s="1"/>
  <c r="AT29"/>
  <c r="AU28"/>
  <c r="AT28"/>
  <c r="AS28"/>
  <c r="AK28"/>
  <c r="AO28" s="1"/>
  <c r="M28"/>
  <c r="N28" s="1"/>
  <c r="AT27"/>
  <c r="AU27" s="1"/>
  <c r="AS27"/>
  <c r="AO27"/>
  <c r="AK27"/>
  <c r="N27"/>
  <c r="M27"/>
  <c r="AU26"/>
  <c r="AT26"/>
  <c r="AS26"/>
  <c r="AO26"/>
  <c r="AM26"/>
  <c r="AM116" s="1"/>
  <c r="AL26"/>
  <c r="AK26"/>
  <c r="M26"/>
  <c r="N26" s="1"/>
  <c r="AU25"/>
  <c r="AS25"/>
  <c r="AK25"/>
  <c r="AO25" s="1"/>
  <c r="M25"/>
  <c r="N25" s="1"/>
  <c r="AT24"/>
  <c r="AU24" s="1"/>
  <c r="AS24"/>
  <c r="AO24"/>
  <c r="AK24"/>
  <c r="N24"/>
  <c r="M24"/>
  <c r="AU23"/>
  <c r="AS23"/>
  <c r="AO23"/>
  <c r="AK23"/>
  <c r="N23"/>
  <c r="M23"/>
  <c r="AU22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K20" s="1"/>
  <c r="AO20" s="1"/>
  <c r="M20"/>
  <c r="N20" s="1"/>
  <c r="AT19"/>
  <c r="AU19" s="1"/>
  <c r="AS19"/>
  <c r="AO19"/>
  <c r="AK19"/>
  <c r="N19"/>
  <c r="M19"/>
  <c r="AU18"/>
  <c r="AT18"/>
  <c r="AS18"/>
  <c r="AK18"/>
  <c r="AO18" s="1"/>
  <c r="AO116" s="1"/>
  <c r="M18"/>
  <c r="N18" s="1"/>
  <c r="AV17"/>
  <c r="AU17"/>
  <c r="AS17"/>
  <c r="AL17"/>
  <c r="AL116" s="1"/>
  <c r="AK17"/>
  <c r="AK116" s="1"/>
  <c r="N17"/>
  <c r="M17"/>
  <c r="AT94" i="87"/>
  <c r="AT84"/>
  <c r="AQ107"/>
  <c r="AP107"/>
  <c r="AN107"/>
  <c r="AJ107"/>
  <c r="AI107"/>
  <c r="AH107"/>
  <c r="AG107"/>
  <c r="AF107"/>
  <c r="AD107"/>
  <c r="AC107"/>
  <c r="AB107"/>
  <c r="T107"/>
  <c r="R107"/>
  <c r="P107"/>
  <c r="K107"/>
  <c r="AT106"/>
  <c r="AT105"/>
  <c r="AT104"/>
  <c r="AU104" s="1"/>
  <c r="AS104"/>
  <c r="AO104"/>
  <c r="AK104"/>
  <c r="N104"/>
  <c r="M104"/>
  <c r="AU103"/>
  <c r="AT103"/>
  <c r="AS103"/>
  <c r="AK103"/>
  <c r="AO103" s="1"/>
  <c r="M103"/>
  <c r="N103" s="1"/>
  <c r="AT102"/>
  <c r="AT101"/>
  <c r="AT100"/>
  <c r="AT99"/>
  <c r="AT98"/>
  <c r="AT97"/>
  <c r="AT96"/>
  <c r="AT95"/>
  <c r="AT93"/>
  <c r="AT92"/>
  <c r="AT91"/>
  <c r="AT90"/>
  <c r="AT89"/>
  <c r="AT88"/>
  <c r="AT87"/>
  <c r="AT86"/>
  <c r="AT85"/>
  <c r="AT83"/>
  <c r="AT82"/>
  <c r="AT81"/>
  <c r="AT80"/>
  <c r="AT79"/>
  <c r="AT78"/>
  <c r="AU77"/>
  <c r="AT77"/>
  <c r="AS77"/>
  <c r="AK77"/>
  <c r="AO77" s="1"/>
  <c r="M77"/>
  <c r="N77" s="1"/>
  <c r="AT76"/>
  <c r="AU76" s="1"/>
  <c r="AR76"/>
  <c r="AS76" s="1"/>
  <c r="AK76"/>
  <c r="AO76" s="1"/>
  <c r="M76"/>
  <c r="N76" s="1"/>
  <c r="AT75"/>
  <c r="AU75" s="1"/>
  <c r="AR75"/>
  <c r="AS75" s="1"/>
  <c r="AK75"/>
  <c r="AO75" s="1"/>
  <c r="M75"/>
  <c r="N75" s="1"/>
  <c r="AT74"/>
  <c r="AU74" s="1"/>
  <c r="AS74"/>
  <c r="AL74"/>
  <c r="AK74"/>
  <c r="AO74" s="1"/>
  <c r="M74"/>
  <c r="N74" s="1"/>
  <c r="AT73"/>
  <c r="AU72"/>
  <c r="AT72"/>
  <c r="AS72"/>
  <c r="AK72"/>
  <c r="N72"/>
  <c r="M72"/>
  <c r="AU71"/>
  <c r="AT71"/>
  <c r="AS71"/>
  <c r="AK71"/>
  <c r="AO71" s="1"/>
  <c r="M71"/>
  <c r="N71" s="1"/>
  <c r="AT70"/>
  <c r="AU70" s="1"/>
  <c r="AS70"/>
  <c r="AO70"/>
  <c r="AK70"/>
  <c r="N70"/>
  <c r="M70"/>
  <c r="AU69"/>
  <c r="AT69"/>
  <c r="AS69"/>
  <c r="AK69"/>
  <c r="AO69" s="1"/>
  <c r="M69"/>
  <c r="N69" s="1"/>
  <c r="AT68"/>
  <c r="AU68" s="1"/>
  <c r="AS68"/>
  <c r="AO68"/>
  <c r="AK68"/>
  <c r="N68"/>
  <c r="M68"/>
  <c r="AU67"/>
  <c r="AT67"/>
  <c r="AS67"/>
  <c r="AK67"/>
  <c r="AO67" s="1"/>
  <c r="M67"/>
  <c r="N67" s="1"/>
  <c r="AT66"/>
  <c r="AU66" s="1"/>
  <c r="AS66"/>
  <c r="AO66"/>
  <c r="AK66"/>
  <c r="N66"/>
  <c r="M66"/>
  <c r="AU65"/>
  <c r="AT65"/>
  <c r="AS65"/>
  <c r="AK65"/>
  <c r="AO65" s="1"/>
  <c r="M65"/>
  <c r="N65" s="1"/>
  <c r="AT64"/>
  <c r="AU64" s="1"/>
  <c r="AS64"/>
  <c r="AO64"/>
  <c r="AK64"/>
  <c r="N64"/>
  <c r="M64"/>
  <c r="AU63"/>
  <c r="AT63"/>
  <c r="AS63"/>
  <c r="AK63"/>
  <c r="AO63" s="1"/>
  <c r="M63"/>
  <c r="N63" s="1"/>
  <c r="AT62"/>
  <c r="AU62" s="1"/>
  <c r="AS62"/>
  <c r="AO62"/>
  <c r="AK62"/>
  <c r="N62"/>
  <c r="M62"/>
  <c r="AU61"/>
  <c r="AT61"/>
  <c r="AS61"/>
  <c r="AK61"/>
  <c r="AO61" s="1"/>
  <c r="M61"/>
  <c r="N61" s="1"/>
  <c r="AT60"/>
  <c r="AU60" s="1"/>
  <c r="AS60"/>
  <c r="AO60"/>
  <c r="AK60"/>
  <c r="N60"/>
  <c r="M60"/>
  <c r="AU59"/>
  <c r="AT59"/>
  <c r="AS59"/>
  <c r="AK59"/>
  <c r="AO59" s="1"/>
  <c r="M59"/>
  <c r="N59" s="1"/>
  <c r="AT58"/>
  <c r="AU57"/>
  <c r="AT57"/>
  <c r="AS57"/>
  <c r="AK57"/>
  <c r="AO57" s="1"/>
  <c r="M57"/>
  <c r="N57" s="1"/>
  <c r="AT56"/>
  <c r="AU56" s="1"/>
  <c r="AS56"/>
  <c r="AL56"/>
  <c r="AM56" s="1"/>
  <c r="AO56" s="1"/>
  <c r="AK56"/>
  <c r="N56"/>
  <c r="M56"/>
  <c r="AU55"/>
  <c r="AT55"/>
  <c r="AS55"/>
  <c r="AK55"/>
  <c r="AO55" s="1"/>
  <c r="M55"/>
  <c r="N55" s="1"/>
  <c r="AT54"/>
  <c r="AT53"/>
  <c r="AT52"/>
  <c r="AT51"/>
  <c r="AT50"/>
  <c r="AU49"/>
  <c r="AT49"/>
  <c r="AS49"/>
  <c r="AK49"/>
  <c r="N49"/>
  <c r="M49"/>
  <c r="AU48"/>
  <c r="AT48"/>
  <c r="AS48"/>
  <c r="AM48"/>
  <c r="AL48"/>
  <c r="AK48"/>
  <c r="AO48" s="1"/>
  <c r="M48"/>
  <c r="N48" s="1"/>
  <c r="AT47"/>
  <c r="AT46"/>
  <c r="AT45"/>
  <c r="AT44"/>
  <c r="AT43"/>
  <c r="AT42"/>
  <c r="AT41"/>
  <c r="AT40"/>
  <c r="AT39"/>
  <c r="AT38"/>
  <c r="AT37"/>
  <c r="AT36"/>
  <c r="AT35"/>
  <c r="AU35" s="1"/>
  <c r="AS35"/>
  <c r="AO35"/>
  <c r="AK35"/>
  <c r="N35"/>
  <c r="M35"/>
  <c r="AT34"/>
  <c r="AT33"/>
  <c r="AT32"/>
  <c r="AT31"/>
  <c r="AU30"/>
  <c r="AT30"/>
  <c r="AS30"/>
  <c r="AK30"/>
  <c r="AO30" s="1"/>
  <c r="M30"/>
  <c r="N30" s="1"/>
  <c r="AT29"/>
  <c r="AU28"/>
  <c r="AT28"/>
  <c r="AS28"/>
  <c r="AK28"/>
  <c r="AO28" s="1"/>
  <c r="M28"/>
  <c r="N28" s="1"/>
  <c r="AT27"/>
  <c r="AU27" s="1"/>
  <c r="AS27"/>
  <c r="AO27"/>
  <c r="AK27"/>
  <c r="N27"/>
  <c r="M27"/>
  <c r="AU26"/>
  <c r="AT26"/>
  <c r="AS26"/>
  <c r="AO26"/>
  <c r="AM26"/>
  <c r="AM107" s="1"/>
  <c r="AL26"/>
  <c r="AK26"/>
  <c r="M26"/>
  <c r="N26" s="1"/>
  <c r="AU25"/>
  <c r="AS25"/>
  <c r="AK25"/>
  <c r="AO25" s="1"/>
  <c r="M25"/>
  <c r="N25" s="1"/>
  <c r="AT24"/>
  <c r="AU24" s="1"/>
  <c r="AS24"/>
  <c r="AO24"/>
  <c r="AK24"/>
  <c r="N24"/>
  <c r="M24"/>
  <c r="AU23"/>
  <c r="AS23"/>
  <c r="AO23"/>
  <c r="AK23"/>
  <c r="N23"/>
  <c r="M23"/>
  <c r="AU22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K20" s="1"/>
  <c r="AO20" s="1"/>
  <c r="M20"/>
  <c r="N20" s="1"/>
  <c r="AT19"/>
  <c r="AU19" s="1"/>
  <c r="AS19"/>
  <c r="AO19"/>
  <c r="AK19"/>
  <c r="N19"/>
  <c r="M19"/>
  <c r="AU18"/>
  <c r="AT18"/>
  <c r="AS18"/>
  <c r="AK18"/>
  <c r="AO18" s="1"/>
  <c r="AO107" s="1"/>
  <c r="M18"/>
  <c r="N18" s="1"/>
  <c r="AV17"/>
  <c r="AV107" s="1"/>
  <c r="AU17"/>
  <c r="AS17"/>
  <c r="AS107" s="1"/>
  <c r="AL17"/>
  <c r="AL107" s="1"/>
  <c r="AK17"/>
  <c r="AK107" s="1"/>
  <c r="N17"/>
  <c r="M17"/>
  <c r="AT92" i="86"/>
  <c r="AT83"/>
  <c r="AT91"/>
  <c r="AT82"/>
  <c r="AT100"/>
  <c r="AT99"/>
  <c r="AQ105"/>
  <c r="AP105"/>
  <c r="AN105"/>
  <c r="AJ105"/>
  <c r="AI105"/>
  <c r="AH105"/>
  <c r="AG105"/>
  <c r="AF105"/>
  <c r="AD105"/>
  <c r="AC105"/>
  <c r="AB105"/>
  <c r="T105"/>
  <c r="R105"/>
  <c r="P105"/>
  <c r="K105"/>
  <c r="AT104"/>
  <c r="AT103"/>
  <c r="AT102"/>
  <c r="AU102" s="1"/>
  <c r="AS102"/>
  <c r="AK102"/>
  <c r="AO102" s="1"/>
  <c r="M102"/>
  <c r="N102" s="1"/>
  <c r="AT101"/>
  <c r="AU101" s="1"/>
  <c r="AS101"/>
  <c r="AK101"/>
  <c r="AO101" s="1"/>
  <c r="M101"/>
  <c r="N101" s="1"/>
  <c r="AT98"/>
  <c r="AT97"/>
  <c r="AT96"/>
  <c r="AT95"/>
  <c r="AT94"/>
  <c r="AT93"/>
  <c r="AT90"/>
  <c r="AT89"/>
  <c r="AT88"/>
  <c r="AT87"/>
  <c r="AT86"/>
  <c r="AT85"/>
  <c r="AT84"/>
  <c r="AT81"/>
  <c r="AT80"/>
  <c r="AT79"/>
  <c r="AT78"/>
  <c r="AT77"/>
  <c r="AU77" s="1"/>
  <c r="AS77"/>
  <c r="AK77"/>
  <c r="AO77" s="1"/>
  <c r="M77"/>
  <c r="N77" s="1"/>
  <c r="AT76"/>
  <c r="AU76" s="1"/>
  <c r="AR76"/>
  <c r="AS76" s="1"/>
  <c r="AK76"/>
  <c r="AO76" s="1"/>
  <c r="M76"/>
  <c r="N76" s="1"/>
  <c r="AT75"/>
  <c r="AR75"/>
  <c r="AS75" s="1"/>
  <c r="AK75"/>
  <c r="AO75" s="1"/>
  <c r="M75"/>
  <c r="N75" s="1"/>
  <c r="AT74"/>
  <c r="AU74" s="1"/>
  <c r="AS74"/>
  <c r="AL74"/>
  <c r="AK74"/>
  <c r="AO74" s="1"/>
  <c r="M74"/>
  <c r="N74" s="1"/>
  <c r="AT73"/>
  <c r="AT72"/>
  <c r="AU72" s="1"/>
  <c r="AS72"/>
  <c r="AK72"/>
  <c r="M72"/>
  <c r="N72" s="1"/>
  <c r="AT71"/>
  <c r="AU71" s="1"/>
  <c r="AS71"/>
  <c r="AK71"/>
  <c r="AO71" s="1"/>
  <c r="M71"/>
  <c r="N71" s="1"/>
  <c r="AT70"/>
  <c r="AU70" s="1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K67"/>
  <c r="AO67" s="1"/>
  <c r="M67"/>
  <c r="N67" s="1"/>
  <c r="AT66"/>
  <c r="AU66" s="1"/>
  <c r="AS66"/>
  <c r="AK66"/>
  <c r="AO66" s="1"/>
  <c r="M66"/>
  <c r="N66" s="1"/>
  <c r="AT65"/>
  <c r="AU65" s="1"/>
  <c r="AS65"/>
  <c r="AK65"/>
  <c r="AO65" s="1"/>
  <c r="M65"/>
  <c r="N65" s="1"/>
  <c r="AT64"/>
  <c r="AU64" s="1"/>
  <c r="AS64"/>
  <c r="AK64"/>
  <c r="AO64" s="1"/>
  <c r="M64"/>
  <c r="N64" s="1"/>
  <c r="AT63"/>
  <c r="AU63" s="1"/>
  <c r="AS63"/>
  <c r="AK63"/>
  <c r="AO63" s="1"/>
  <c r="M63"/>
  <c r="N63" s="1"/>
  <c r="AT62"/>
  <c r="AU62" s="1"/>
  <c r="AS62"/>
  <c r="AK62"/>
  <c r="AO62" s="1"/>
  <c r="M62"/>
  <c r="N62" s="1"/>
  <c r="AT61"/>
  <c r="AU61" s="1"/>
  <c r="AS61"/>
  <c r="AK61"/>
  <c r="AO61" s="1"/>
  <c r="M61"/>
  <c r="N61" s="1"/>
  <c r="AU60"/>
  <c r="AT60"/>
  <c r="AS60"/>
  <c r="AK60"/>
  <c r="AO60" s="1"/>
  <c r="M60"/>
  <c r="N60" s="1"/>
  <c r="AT59"/>
  <c r="AU59" s="1"/>
  <c r="AS59"/>
  <c r="AK59"/>
  <c r="AO59" s="1"/>
  <c r="M59"/>
  <c r="N59" s="1"/>
  <c r="AT58"/>
  <c r="AT57"/>
  <c r="AU57" s="1"/>
  <c r="AS57"/>
  <c r="AK57"/>
  <c r="AO57" s="1"/>
  <c r="M57"/>
  <c r="N57" s="1"/>
  <c r="AU56"/>
  <c r="AT56"/>
  <c r="AS56"/>
  <c r="AL56"/>
  <c r="AM56" s="1"/>
  <c r="AK56"/>
  <c r="M56"/>
  <c r="N56" s="1"/>
  <c r="AT55"/>
  <c r="AU55" s="1"/>
  <c r="AS55"/>
  <c r="AK55"/>
  <c r="AO55" s="1"/>
  <c r="M55"/>
  <c r="N55" s="1"/>
  <c r="AT54"/>
  <c r="AT53"/>
  <c r="AT52"/>
  <c r="AT51"/>
  <c r="AT50"/>
  <c r="AT49"/>
  <c r="AU49" s="1"/>
  <c r="AS49"/>
  <c r="AK49"/>
  <c r="M49"/>
  <c r="N49" s="1"/>
  <c r="AT48"/>
  <c r="AU48" s="1"/>
  <c r="AS48"/>
  <c r="AM48"/>
  <c r="AL48"/>
  <c r="AK48"/>
  <c r="AO48" s="1"/>
  <c r="M48"/>
  <c r="N48" s="1"/>
  <c r="AT47"/>
  <c r="AT46"/>
  <c r="AT45"/>
  <c r="AT44"/>
  <c r="AT43"/>
  <c r="AT42"/>
  <c r="AT41"/>
  <c r="AT40"/>
  <c r="AT39"/>
  <c r="AT38"/>
  <c r="AT37"/>
  <c r="AT36"/>
  <c r="AT35"/>
  <c r="AU35" s="1"/>
  <c r="AS35"/>
  <c r="AK35"/>
  <c r="AO35" s="1"/>
  <c r="M35"/>
  <c r="N35" s="1"/>
  <c r="AT34"/>
  <c r="AT33"/>
  <c r="AT32"/>
  <c r="AT31"/>
  <c r="AT30"/>
  <c r="AU30" s="1"/>
  <c r="AS30"/>
  <c r="AK30"/>
  <c r="AO30" s="1"/>
  <c r="M30"/>
  <c r="N30" s="1"/>
  <c r="AT29"/>
  <c r="AT28"/>
  <c r="AU28" s="1"/>
  <c r="AS28"/>
  <c r="AK28"/>
  <c r="AO28" s="1"/>
  <c r="N28"/>
  <c r="M28"/>
  <c r="AT27"/>
  <c r="AU27" s="1"/>
  <c r="AS27"/>
  <c r="AK27"/>
  <c r="AO27" s="1"/>
  <c r="M27"/>
  <c r="N27" s="1"/>
  <c r="AT26"/>
  <c r="AU26" s="1"/>
  <c r="AS26"/>
  <c r="AO26"/>
  <c r="AM26"/>
  <c r="AL26"/>
  <c r="AK26"/>
  <c r="M26"/>
  <c r="N26" s="1"/>
  <c r="AU25"/>
  <c r="AS25"/>
  <c r="AK25"/>
  <c r="AO25" s="1"/>
  <c r="M25"/>
  <c r="N25" s="1"/>
  <c r="AT24"/>
  <c r="AU24" s="1"/>
  <c r="AS24"/>
  <c r="AK24"/>
  <c r="AO24" s="1"/>
  <c r="M24"/>
  <c r="N24" s="1"/>
  <c r="AU23"/>
  <c r="AS23"/>
  <c r="AK23"/>
  <c r="AO23" s="1"/>
  <c r="M23"/>
  <c r="N23" s="1"/>
  <c r="AU22"/>
  <c r="AS22"/>
  <c r="AK22"/>
  <c r="AO22" s="1"/>
  <c r="M22"/>
  <c r="N22" s="1"/>
  <c r="AT21"/>
  <c r="AU21" s="1"/>
  <c r="AS21"/>
  <c r="AK21"/>
  <c r="AO21" s="1"/>
  <c r="M21"/>
  <c r="N21" s="1"/>
  <c r="AT20"/>
  <c r="AU20" s="1"/>
  <c r="AS20"/>
  <c r="AE20"/>
  <c r="AE105" s="1"/>
  <c r="M20"/>
  <c r="N20" s="1"/>
  <c r="AT19"/>
  <c r="AU19" s="1"/>
  <c r="AS19"/>
  <c r="AK19"/>
  <c r="AO19" s="1"/>
  <c r="M19"/>
  <c r="N19" s="1"/>
  <c r="AT18"/>
  <c r="AU18" s="1"/>
  <c r="AS18"/>
  <c r="AK18"/>
  <c r="AO18" s="1"/>
  <c r="M18"/>
  <c r="N18" s="1"/>
  <c r="AV17"/>
  <c r="AV105" s="1"/>
  <c r="AU17"/>
  <c r="AS17"/>
  <c r="AL17"/>
  <c r="AL105" s="1"/>
  <c r="AK17"/>
  <c r="M17"/>
  <c r="N17" s="1"/>
  <c r="AQ100" i="85"/>
  <c r="AP100"/>
  <c r="AN100"/>
  <c r="AJ100"/>
  <c r="AI100"/>
  <c r="AH100"/>
  <c r="AG100"/>
  <c r="AF100"/>
  <c r="AD100"/>
  <c r="AC100"/>
  <c r="AB100"/>
  <c r="T100"/>
  <c r="R100"/>
  <c r="P100"/>
  <c r="K100"/>
  <c r="AT99"/>
  <c r="AT98"/>
  <c r="AU97"/>
  <c r="AT97"/>
  <c r="AS97"/>
  <c r="AK97"/>
  <c r="AO97" s="1"/>
  <c r="M97"/>
  <c r="N97" s="1"/>
  <c r="AT96"/>
  <c r="AU96" s="1"/>
  <c r="AS96"/>
  <c r="AO96"/>
  <c r="AK96"/>
  <c r="N96"/>
  <c r="M96"/>
  <c r="AT95"/>
  <c r="AT94"/>
  <c r="AT93"/>
  <c r="AT92"/>
  <c r="AT91"/>
  <c r="AT90"/>
  <c r="AT89"/>
  <c r="AT88"/>
  <c r="AT87"/>
  <c r="AT86"/>
  <c r="AT85"/>
  <c r="AT84"/>
  <c r="AT83"/>
  <c r="AT82"/>
  <c r="AU82" s="1"/>
  <c r="AS82"/>
  <c r="AO82"/>
  <c r="AK82"/>
  <c r="N82"/>
  <c r="M82"/>
  <c r="AT81"/>
  <c r="AT80"/>
  <c r="AT79"/>
  <c r="AT78"/>
  <c r="AU77"/>
  <c r="AT77"/>
  <c r="AS77"/>
  <c r="AK77"/>
  <c r="AO77" s="1"/>
  <c r="M77"/>
  <c r="N77" s="1"/>
  <c r="AT76"/>
  <c r="AU76" s="1"/>
  <c r="AR76"/>
  <c r="AS76" s="1"/>
  <c r="AK76"/>
  <c r="AO76" s="1"/>
  <c r="M76"/>
  <c r="N76" s="1"/>
  <c r="AT75"/>
  <c r="AU75" s="1"/>
  <c r="AR75"/>
  <c r="AS75" s="1"/>
  <c r="AK75"/>
  <c r="AO75" s="1"/>
  <c r="M75"/>
  <c r="N75" s="1"/>
  <c r="AT74"/>
  <c r="AU74" s="1"/>
  <c r="AS74"/>
  <c r="AL74"/>
  <c r="AK74"/>
  <c r="AO74" s="1"/>
  <c r="M74"/>
  <c r="N74" s="1"/>
  <c r="AT73"/>
  <c r="AU72"/>
  <c r="AT72"/>
  <c r="AS72"/>
  <c r="AK72"/>
  <c r="N72"/>
  <c r="M72"/>
  <c r="AU71"/>
  <c r="AT71"/>
  <c r="AS71"/>
  <c r="AK71"/>
  <c r="AO71" s="1"/>
  <c r="M71"/>
  <c r="N71" s="1"/>
  <c r="AT70"/>
  <c r="AU70" s="1"/>
  <c r="AS70"/>
  <c r="AO70"/>
  <c r="AK70"/>
  <c r="N70"/>
  <c r="M70"/>
  <c r="AU69"/>
  <c r="AT69"/>
  <c r="AS69"/>
  <c r="AK69"/>
  <c r="AO69" s="1"/>
  <c r="M69"/>
  <c r="N69" s="1"/>
  <c r="AT68"/>
  <c r="AU68" s="1"/>
  <c r="AS68"/>
  <c r="AO68"/>
  <c r="AK68"/>
  <c r="N68"/>
  <c r="M68"/>
  <c r="AU67"/>
  <c r="AT67"/>
  <c r="AS67"/>
  <c r="AK67"/>
  <c r="AO67" s="1"/>
  <c r="M67"/>
  <c r="N67" s="1"/>
  <c r="AT66"/>
  <c r="AU66" s="1"/>
  <c r="AS66"/>
  <c r="AO66"/>
  <c r="AK66"/>
  <c r="N66"/>
  <c r="M66"/>
  <c r="AT65"/>
  <c r="AU65" s="1"/>
  <c r="AS65"/>
  <c r="AK65"/>
  <c r="AO65" s="1"/>
  <c r="M65"/>
  <c r="N65" s="1"/>
  <c r="AT64"/>
  <c r="AU64" s="1"/>
  <c r="AS64"/>
  <c r="AO64"/>
  <c r="AK64"/>
  <c r="N64"/>
  <c r="M64"/>
  <c r="AU63"/>
  <c r="AT63"/>
  <c r="AS63"/>
  <c r="AK63"/>
  <c r="AO63" s="1"/>
  <c r="M63"/>
  <c r="N63" s="1"/>
  <c r="AT62"/>
  <c r="AU62" s="1"/>
  <c r="AS62"/>
  <c r="AO62"/>
  <c r="AK62"/>
  <c r="N62"/>
  <c r="M62"/>
  <c r="AU61"/>
  <c r="AT61"/>
  <c r="AS61"/>
  <c r="AK61"/>
  <c r="AO61" s="1"/>
  <c r="M61"/>
  <c r="N61" s="1"/>
  <c r="AT60"/>
  <c r="AU60" s="1"/>
  <c r="AS60"/>
  <c r="AO60"/>
  <c r="AK60"/>
  <c r="N60"/>
  <c r="M60"/>
  <c r="AU59"/>
  <c r="AT59"/>
  <c r="AS59"/>
  <c r="AK59"/>
  <c r="AO59" s="1"/>
  <c r="M59"/>
  <c r="N59" s="1"/>
  <c r="AT58"/>
  <c r="AU57"/>
  <c r="AT57"/>
  <c r="AS57"/>
  <c r="AK57"/>
  <c r="AO57" s="1"/>
  <c r="M57"/>
  <c r="N57" s="1"/>
  <c r="AT56"/>
  <c r="AU56" s="1"/>
  <c r="AS56"/>
  <c r="AL56"/>
  <c r="AM56" s="1"/>
  <c r="AO56" s="1"/>
  <c r="AK56"/>
  <c r="N56"/>
  <c r="M56"/>
  <c r="AU55"/>
  <c r="AT55"/>
  <c r="AS55"/>
  <c r="AK55"/>
  <c r="AO55" s="1"/>
  <c r="M55"/>
  <c r="N55" s="1"/>
  <c r="AT54"/>
  <c r="AT53"/>
  <c r="AT52"/>
  <c r="AT51"/>
  <c r="AT50"/>
  <c r="AU49"/>
  <c r="AT49"/>
  <c r="AS49"/>
  <c r="AK49"/>
  <c r="N49"/>
  <c r="M49"/>
  <c r="AT48"/>
  <c r="AU48" s="1"/>
  <c r="AS48"/>
  <c r="AM48"/>
  <c r="AL48"/>
  <c r="AK48"/>
  <c r="AO48" s="1"/>
  <c r="M48"/>
  <c r="N48" s="1"/>
  <c r="AT47"/>
  <c r="AT46"/>
  <c r="AT45"/>
  <c r="AT44"/>
  <c r="AT43"/>
  <c r="AT42"/>
  <c r="AT41"/>
  <c r="AT40"/>
  <c r="AT39"/>
  <c r="AT38"/>
  <c r="AT37"/>
  <c r="AT36"/>
  <c r="AT35"/>
  <c r="AU35" s="1"/>
  <c r="AS35"/>
  <c r="AO35"/>
  <c r="AK35"/>
  <c r="N35"/>
  <c r="M35"/>
  <c r="AT34"/>
  <c r="AT33"/>
  <c r="AT32"/>
  <c r="AT31"/>
  <c r="AU30"/>
  <c r="AT30"/>
  <c r="AS30"/>
  <c r="AK30"/>
  <c r="AO30" s="1"/>
  <c r="M30"/>
  <c r="N30" s="1"/>
  <c r="AT29"/>
  <c r="AU28"/>
  <c r="AT28"/>
  <c r="AS28"/>
  <c r="AK28"/>
  <c r="AO28" s="1"/>
  <c r="M28"/>
  <c r="N28" s="1"/>
  <c r="AT27"/>
  <c r="AU27" s="1"/>
  <c r="AS27"/>
  <c r="AO27"/>
  <c r="AK27"/>
  <c r="N27"/>
  <c r="M27"/>
  <c r="AU26"/>
  <c r="AT26"/>
  <c r="AS26"/>
  <c r="AO26"/>
  <c r="AM26"/>
  <c r="AM100" s="1"/>
  <c r="AL26"/>
  <c r="AK26"/>
  <c r="M26"/>
  <c r="N26" s="1"/>
  <c r="AU25"/>
  <c r="AS25"/>
  <c r="AK25"/>
  <c r="AO25" s="1"/>
  <c r="M25"/>
  <c r="N25" s="1"/>
  <c r="AT24"/>
  <c r="AU24" s="1"/>
  <c r="AS24"/>
  <c r="AK24"/>
  <c r="AO24" s="1"/>
  <c r="M24"/>
  <c r="N24" s="1"/>
  <c r="AU23"/>
  <c r="AS23"/>
  <c r="AK23"/>
  <c r="AO23" s="1"/>
  <c r="M23"/>
  <c r="N23" s="1"/>
  <c r="AU22"/>
  <c r="AS22"/>
  <c r="AK22"/>
  <c r="AO22" s="1"/>
  <c r="M22"/>
  <c r="N22" s="1"/>
  <c r="AU21"/>
  <c r="AT21"/>
  <c r="AS21"/>
  <c r="AK21"/>
  <c r="AO21" s="1"/>
  <c r="M21"/>
  <c r="N21" s="1"/>
  <c r="AT20"/>
  <c r="AU20" s="1"/>
  <c r="AS20"/>
  <c r="AE20"/>
  <c r="AE100" s="1"/>
  <c r="M20"/>
  <c r="N20" s="1"/>
  <c r="AT19"/>
  <c r="AU19" s="1"/>
  <c r="AS19"/>
  <c r="AO19"/>
  <c r="AK19"/>
  <c r="N19"/>
  <c r="M19"/>
  <c r="AU18"/>
  <c r="AT18"/>
  <c r="AS18"/>
  <c r="AK18"/>
  <c r="AO18" s="1"/>
  <c r="M18"/>
  <c r="N18" s="1"/>
  <c r="AV17"/>
  <c r="AV100" s="1"/>
  <c r="AU17"/>
  <c r="AS17"/>
  <c r="AL17"/>
  <c r="AL100" s="1"/>
  <c r="AK17"/>
  <c r="N17"/>
  <c r="M17"/>
  <c r="AQ100" i="84"/>
  <c r="AP100"/>
  <c r="AN100"/>
  <c r="AJ100"/>
  <c r="AI100"/>
  <c r="AH100"/>
  <c r="AG100"/>
  <c r="AF100"/>
  <c r="AD100"/>
  <c r="AC100"/>
  <c r="AB100"/>
  <c r="T100"/>
  <c r="R100"/>
  <c r="P100"/>
  <c r="K100"/>
  <c r="AT99"/>
  <c r="AT98"/>
  <c r="AU97"/>
  <c r="AT97"/>
  <c r="AS97"/>
  <c r="AK97"/>
  <c r="AO97" s="1"/>
  <c r="M97"/>
  <c r="N97" s="1"/>
  <c r="AT96"/>
  <c r="AU96" s="1"/>
  <c r="AS96"/>
  <c r="AO96"/>
  <c r="AK96"/>
  <c r="N96"/>
  <c r="M96"/>
  <c r="AT95"/>
  <c r="AT94"/>
  <c r="AT93"/>
  <c r="AT92"/>
  <c r="AT91"/>
  <c r="AT90"/>
  <c r="AT89"/>
  <c r="AT88"/>
  <c r="AT87"/>
  <c r="AT86"/>
  <c r="AT85"/>
  <c r="AT84"/>
  <c r="AT83"/>
  <c r="AT82"/>
  <c r="AU82" s="1"/>
  <c r="AS82"/>
  <c r="AK82"/>
  <c r="AO82" s="1"/>
  <c r="M82"/>
  <c r="N82" s="1"/>
  <c r="AT81"/>
  <c r="AT80"/>
  <c r="AT79"/>
  <c r="AT78"/>
  <c r="AU77"/>
  <c r="AT77"/>
  <c r="AS77"/>
  <c r="AK77"/>
  <c r="AO77" s="1"/>
  <c r="M77"/>
  <c r="N77" s="1"/>
  <c r="AT76"/>
  <c r="AU76" s="1"/>
  <c r="AR76"/>
  <c r="AS76" s="1"/>
  <c r="AK76"/>
  <c r="AO76" s="1"/>
  <c r="M76"/>
  <c r="N76" s="1"/>
  <c r="AT75"/>
  <c r="AU75" s="1"/>
  <c r="AR75"/>
  <c r="AS75" s="1"/>
  <c r="AK75"/>
  <c r="AO75" s="1"/>
  <c r="M75"/>
  <c r="N75" s="1"/>
  <c r="AT74"/>
  <c r="AU74" s="1"/>
  <c r="AS74"/>
  <c r="AL74"/>
  <c r="AK74"/>
  <c r="AO74" s="1"/>
  <c r="M74"/>
  <c r="N74" s="1"/>
  <c r="AT73"/>
  <c r="AU72"/>
  <c r="AT72"/>
  <c r="AS72"/>
  <c r="AK72"/>
  <c r="N72"/>
  <c r="M72"/>
  <c r="AU71"/>
  <c r="AT71"/>
  <c r="AS71"/>
  <c r="AK71"/>
  <c r="AO71" s="1"/>
  <c r="M71"/>
  <c r="N71" s="1"/>
  <c r="AT70"/>
  <c r="AU70" s="1"/>
  <c r="AS70"/>
  <c r="AO70"/>
  <c r="AK70"/>
  <c r="N70"/>
  <c r="M70"/>
  <c r="AU69"/>
  <c r="AT69"/>
  <c r="AS69"/>
  <c r="AK69"/>
  <c r="AO69" s="1"/>
  <c r="M69"/>
  <c r="N69" s="1"/>
  <c r="AT68"/>
  <c r="AU68" s="1"/>
  <c r="AS68"/>
  <c r="AO68"/>
  <c r="AK68"/>
  <c r="N68"/>
  <c r="M68"/>
  <c r="AU67"/>
  <c r="AT67"/>
  <c r="AS67"/>
  <c r="AK67"/>
  <c r="AO67" s="1"/>
  <c r="M67"/>
  <c r="N67" s="1"/>
  <c r="AT66"/>
  <c r="AU66" s="1"/>
  <c r="AS66"/>
  <c r="AO66"/>
  <c r="AK66"/>
  <c r="N66"/>
  <c r="M66"/>
  <c r="AU65"/>
  <c r="AT65"/>
  <c r="AS65"/>
  <c r="AK65"/>
  <c r="AO65" s="1"/>
  <c r="M65"/>
  <c r="N65" s="1"/>
  <c r="AT64"/>
  <c r="AU64" s="1"/>
  <c r="AS64"/>
  <c r="AO64"/>
  <c r="AK64"/>
  <c r="N64"/>
  <c r="M64"/>
  <c r="AU63"/>
  <c r="AT63"/>
  <c r="AS63"/>
  <c r="AK63"/>
  <c r="AO63" s="1"/>
  <c r="M63"/>
  <c r="N63" s="1"/>
  <c r="AT62"/>
  <c r="AU62" s="1"/>
  <c r="AS62"/>
  <c r="AO62"/>
  <c r="AK62"/>
  <c r="N62"/>
  <c r="M62"/>
  <c r="AU61"/>
  <c r="AT61"/>
  <c r="AS61"/>
  <c r="AK61"/>
  <c r="AO61" s="1"/>
  <c r="M61"/>
  <c r="N61" s="1"/>
  <c r="AT60"/>
  <c r="AU60" s="1"/>
  <c r="AS60"/>
  <c r="AO60"/>
  <c r="AK60"/>
  <c r="N60"/>
  <c r="M60"/>
  <c r="AU59"/>
  <c r="AT59"/>
  <c r="AS59"/>
  <c r="AK59"/>
  <c r="AO59" s="1"/>
  <c r="M59"/>
  <c r="N59" s="1"/>
  <c r="AT58"/>
  <c r="AU57"/>
  <c r="AT57"/>
  <c r="AS57"/>
  <c r="AK57"/>
  <c r="AO57" s="1"/>
  <c r="M57"/>
  <c r="N57" s="1"/>
  <c r="AT56"/>
  <c r="AU56" s="1"/>
  <c r="AS56"/>
  <c r="AL56"/>
  <c r="AM56" s="1"/>
  <c r="AO56" s="1"/>
  <c r="AK56"/>
  <c r="N56"/>
  <c r="M56"/>
  <c r="AU55"/>
  <c r="AT55"/>
  <c r="AS55"/>
  <c r="AK55"/>
  <c r="AO55" s="1"/>
  <c r="M55"/>
  <c r="N55" s="1"/>
  <c r="AT54"/>
  <c r="AT53"/>
  <c r="AT52"/>
  <c r="AT51"/>
  <c r="AT50"/>
  <c r="AU49"/>
  <c r="AT49"/>
  <c r="AS49"/>
  <c r="AK49"/>
  <c r="N49"/>
  <c r="M49"/>
  <c r="AU48"/>
  <c r="AT48"/>
  <c r="AS48"/>
  <c r="AM48"/>
  <c r="AL48"/>
  <c r="AK48"/>
  <c r="AO48" s="1"/>
  <c r="M48"/>
  <c r="N48" s="1"/>
  <c r="AT47"/>
  <c r="AT46"/>
  <c r="AT45"/>
  <c r="AT44"/>
  <c r="AT43"/>
  <c r="AT42"/>
  <c r="AT41"/>
  <c r="AT40"/>
  <c r="AT39"/>
  <c r="AT38"/>
  <c r="AT37"/>
  <c r="AT36"/>
  <c r="AT35"/>
  <c r="AU35" s="1"/>
  <c r="AS35"/>
  <c r="AO35"/>
  <c r="AK35"/>
  <c r="N35"/>
  <c r="M35"/>
  <c r="AT34"/>
  <c r="AT33"/>
  <c r="AT32"/>
  <c r="AT31"/>
  <c r="AU30"/>
  <c r="AT30"/>
  <c r="AS30"/>
  <c r="AK30"/>
  <c r="AO30" s="1"/>
  <c r="M30"/>
  <c r="N30" s="1"/>
  <c r="AT29"/>
  <c r="AU28"/>
  <c r="AT28"/>
  <c r="AS28"/>
  <c r="AK28"/>
  <c r="AO28" s="1"/>
  <c r="M28"/>
  <c r="N28" s="1"/>
  <c r="AT27"/>
  <c r="AU27" s="1"/>
  <c r="AS27"/>
  <c r="AO27"/>
  <c r="AK27"/>
  <c r="N27"/>
  <c r="M27"/>
  <c r="AU26"/>
  <c r="AT26"/>
  <c r="AS26"/>
  <c r="AO26"/>
  <c r="AM26"/>
  <c r="AM100" s="1"/>
  <c r="AL26"/>
  <c r="AK26"/>
  <c r="M26"/>
  <c r="N26" s="1"/>
  <c r="AU25"/>
  <c r="AS25"/>
  <c r="AK25"/>
  <c r="AO25" s="1"/>
  <c r="M25"/>
  <c r="N25" s="1"/>
  <c r="AT24"/>
  <c r="AU24" s="1"/>
  <c r="AS24"/>
  <c r="AO24"/>
  <c r="AK24"/>
  <c r="N24"/>
  <c r="M24"/>
  <c r="AU23"/>
  <c r="AS23"/>
  <c r="AO23"/>
  <c r="AK23"/>
  <c r="N23"/>
  <c r="M23"/>
  <c r="AU22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E100" s="1"/>
  <c r="M20"/>
  <c r="N20" s="1"/>
  <c r="AT19"/>
  <c r="AU19" s="1"/>
  <c r="AS19"/>
  <c r="AO19"/>
  <c r="AK19"/>
  <c r="N19"/>
  <c r="M19"/>
  <c r="AU18"/>
  <c r="AT18"/>
  <c r="AT100" s="1"/>
  <c r="AS18"/>
  <c r="AK18"/>
  <c r="AO18" s="1"/>
  <c r="M18"/>
  <c r="N18" s="1"/>
  <c r="AV17"/>
  <c r="AV100" s="1"/>
  <c r="AU17"/>
  <c r="AS17"/>
  <c r="AS100" s="1"/>
  <c r="AL17"/>
  <c r="AL100" s="1"/>
  <c r="AK17"/>
  <c r="N17"/>
  <c r="M17"/>
  <c r="AQ100" i="83"/>
  <c r="AP100"/>
  <c r="AN100"/>
  <c r="AJ100"/>
  <c r="AI100"/>
  <c r="AH100"/>
  <c r="AG100"/>
  <c r="AF100"/>
  <c r="AD100"/>
  <c r="AC100"/>
  <c r="AB100"/>
  <c r="T100"/>
  <c r="R100"/>
  <c r="P100"/>
  <c r="K100"/>
  <c r="AT99"/>
  <c r="AT98"/>
  <c r="AT97"/>
  <c r="AU97" s="1"/>
  <c r="AS97"/>
  <c r="AO97"/>
  <c r="AK97"/>
  <c r="N97"/>
  <c r="M97"/>
  <c r="AU96"/>
  <c r="AT96"/>
  <c r="AS96"/>
  <c r="AK96"/>
  <c r="AO96" s="1"/>
  <c r="M96"/>
  <c r="N96" s="1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T80"/>
  <c r="AT79"/>
  <c r="AT78"/>
  <c r="AT77"/>
  <c r="AU77" s="1"/>
  <c r="AS77"/>
  <c r="AO77"/>
  <c r="AK77"/>
  <c r="N77"/>
  <c r="M77"/>
  <c r="AU76"/>
  <c r="AT76"/>
  <c r="AS76"/>
  <c r="AR76"/>
  <c r="AO76"/>
  <c r="AK76"/>
  <c r="N76"/>
  <c r="M76"/>
  <c r="AU75"/>
  <c r="AT75"/>
  <c r="AS75"/>
  <c r="AR75"/>
  <c r="AO75"/>
  <c r="AK75"/>
  <c r="N75"/>
  <c r="M75"/>
  <c r="AU74"/>
  <c r="AT74"/>
  <c r="AS74"/>
  <c r="AL74"/>
  <c r="AK74"/>
  <c r="AO74" s="1"/>
  <c r="N74"/>
  <c r="M74"/>
  <c r="AT73"/>
  <c r="AT72"/>
  <c r="AU72" s="1"/>
  <c r="AS72"/>
  <c r="AK72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3" s="1"/>
  <c r="AS63"/>
  <c r="AO63"/>
  <c r="AK63"/>
  <c r="N63"/>
  <c r="M63"/>
  <c r="AU62"/>
  <c r="AT62"/>
  <c r="AS62"/>
  <c r="AK62"/>
  <c r="AO62" s="1"/>
  <c r="M62"/>
  <c r="N62" s="1"/>
  <c r="AT61"/>
  <c r="AU61" s="1"/>
  <c r="AS61"/>
  <c r="AO61"/>
  <c r="AK61"/>
  <c r="N61"/>
  <c r="M61"/>
  <c r="AU60"/>
  <c r="AT60"/>
  <c r="AS60"/>
  <c r="AK60"/>
  <c r="AO60" s="1"/>
  <c r="M60"/>
  <c r="N60" s="1"/>
  <c r="AT59"/>
  <c r="AU59" s="1"/>
  <c r="AS59"/>
  <c r="AO59"/>
  <c r="AK59"/>
  <c r="N59"/>
  <c r="M59"/>
  <c r="AT58"/>
  <c r="AT57"/>
  <c r="AU57" s="1"/>
  <c r="AS57"/>
  <c r="AO57"/>
  <c r="AK57"/>
  <c r="N57"/>
  <c r="M57"/>
  <c r="AU56"/>
  <c r="AT56"/>
  <c r="AS56"/>
  <c r="AM56"/>
  <c r="AL56"/>
  <c r="AK56"/>
  <c r="AO56" s="1"/>
  <c r="M56"/>
  <c r="N56" s="1"/>
  <c r="AT55"/>
  <c r="AU55" s="1"/>
  <c r="AS55"/>
  <c r="AO55"/>
  <c r="AK55"/>
  <c r="N55"/>
  <c r="M55"/>
  <c r="AT54"/>
  <c r="AT53"/>
  <c r="AT52"/>
  <c r="AT51"/>
  <c r="AT50"/>
  <c r="AT49"/>
  <c r="AU49" s="1"/>
  <c r="AS49"/>
  <c r="AK49"/>
  <c r="M49"/>
  <c r="N49" s="1"/>
  <c r="AT48"/>
  <c r="AU48" s="1"/>
  <c r="AS48"/>
  <c r="AO48"/>
  <c r="AM48"/>
  <c r="AL48"/>
  <c r="AK48"/>
  <c r="N48"/>
  <c r="M48"/>
  <c r="AT47"/>
  <c r="AT46"/>
  <c r="AT45"/>
  <c r="AT44"/>
  <c r="AT43"/>
  <c r="AT42"/>
  <c r="AT41"/>
  <c r="AT40"/>
  <c r="AT39"/>
  <c r="AT38"/>
  <c r="AT37"/>
  <c r="AT36"/>
  <c r="AU35"/>
  <c r="AT35"/>
  <c r="AS35"/>
  <c r="AK35"/>
  <c r="AO35" s="1"/>
  <c r="M35"/>
  <c r="N35" s="1"/>
  <c r="AT34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U27"/>
  <c r="AT27"/>
  <c r="AS27"/>
  <c r="AK27"/>
  <c r="AO27" s="1"/>
  <c r="M27"/>
  <c r="N27" s="1"/>
  <c r="AT26"/>
  <c r="AU26" s="1"/>
  <c r="AS26"/>
  <c r="AO26"/>
  <c r="AM26"/>
  <c r="AM100" s="1"/>
  <c r="AL26"/>
  <c r="AK26"/>
  <c r="N26"/>
  <c r="M26"/>
  <c r="AU25"/>
  <c r="AS25"/>
  <c r="AO25"/>
  <c r="AK25"/>
  <c r="N25"/>
  <c r="M25"/>
  <c r="AU24"/>
  <c r="AT24"/>
  <c r="AS24"/>
  <c r="AK24"/>
  <c r="AO24" s="1"/>
  <c r="M24"/>
  <c r="N24" s="1"/>
  <c r="AU23"/>
  <c r="AS23"/>
  <c r="AK23"/>
  <c r="AO23" s="1"/>
  <c r="M23"/>
  <c r="N23" s="1"/>
  <c r="AU22"/>
  <c r="AS22"/>
  <c r="AK22"/>
  <c r="AO22" s="1"/>
  <c r="M22"/>
  <c r="N22" s="1"/>
  <c r="AT21"/>
  <c r="AU21" s="1"/>
  <c r="AS21"/>
  <c r="AO21"/>
  <c r="AK21"/>
  <c r="N21"/>
  <c r="M21"/>
  <c r="AU20"/>
  <c r="AT20"/>
  <c r="AS20"/>
  <c r="AK20"/>
  <c r="AO20" s="1"/>
  <c r="AE20"/>
  <c r="AE100" s="1"/>
  <c r="N20"/>
  <c r="M20"/>
  <c r="AU19"/>
  <c r="AT19"/>
  <c r="AS19"/>
  <c r="AK19"/>
  <c r="AO19" s="1"/>
  <c r="M19"/>
  <c r="N19" s="1"/>
  <c r="AT18"/>
  <c r="AU18" s="1"/>
  <c r="AS18"/>
  <c r="AO18"/>
  <c r="AO100" s="1"/>
  <c r="AK18"/>
  <c r="N18"/>
  <c r="M18"/>
  <c r="AV17"/>
  <c r="AV100" s="1"/>
  <c r="AU17"/>
  <c r="AS17"/>
  <c r="AS100" s="1"/>
  <c r="AL17"/>
  <c r="AL100" s="1"/>
  <c r="AK17"/>
  <c r="AK100" s="1"/>
  <c r="M17"/>
  <c r="N17" s="1"/>
  <c r="AT34" i="82"/>
  <c r="AQ100"/>
  <c r="AP100"/>
  <c r="AN100"/>
  <c r="AJ100"/>
  <c r="AI100"/>
  <c r="AH100"/>
  <c r="AG100"/>
  <c r="AF100"/>
  <c r="AD100"/>
  <c r="AC100"/>
  <c r="AB100"/>
  <c r="T100"/>
  <c r="R100"/>
  <c r="P100"/>
  <c r="K100"/>
  <c r="AT99"/>
  <c r="AT98"/>
  <c r="AT97"/>
  <c r="AU97" s="1"/>
  <c r="AS97"/>
  <c r="AO97"/>
  <c r="AK97"/>
  <c r="N97"/>
  <c r="M97"/>
  <c r="AU96"/>
  <c r="AT96"/>
  <c r="AS96"/>
  <c r="AK96"/>
  <c r="AO96" s="1"/>
  <c r="M96"/>
  <c r="N96" s="1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T80"/>
  <c r="AT79"/>
  <c r="AT78"/>
  <c r="AT77"/>
  <c r="AU77" s="1"/>
  <c r="AS77"/>
  <c r="AO77"/>
  <c r="AK77"/>
  <c r="N77"/>
  <c r="M77"/>
  <c r="AU76"/>
  <c r="AT76"/>
  <c r="AS76"/>
  <c r="AR76"/>
  <c r="AO76"/>
  <c r="AK76"/>
  <c r="N76"/>
  <c r="M76"/>
  <c r="AU75"/>
  <c r="AT75"/>
  <c r="AS75"/>
  <c r="AR75"/>
  <c r="AO75"/>
  <c r="AK75"/>
  <c r="N75"/>
  <c r="M75"/>
  <c r="AU74"/>
  <c r="AT74"/>
  <c r="AS74"/>
  <c r="AL74"/>
  <c r="AK74"/>
  <c r="AO74" s="1"/>
  <c r="N74"/>
  <c r="M74"/>
  <c r="AT73"/>
  <c r="AT72"/>
  <c r="AU72" s="1"/>
  <c r="AS72"/>
  <c r="AK72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3" s="1"/>
  <c r="AS63"/>
  <c r="AO63"/>
  <c r="AK63"/>
  <c r="N63"/>
  <c r="M63"/>
  <c r="AT62"/>
  <c r="AU62" s="1"/>
  <c r="AS62"/>
  <c r="AK62"/>
  <c r="AO62" s="1"/>
  <c r="M62"/>
  <c r="N62" s="1"/>
  <c r="AT61"/>
  <c r="AU61" s="1"/>
  <c r="AS61"/>
  <c r="AO61"/>
  <c r="AK61"/>
  <c r="N61"/>
  <c r="M61"/>
  <c r="AU60"/>
  <c r="AT60"/>
  <c r="AS60"/>
  <c r="AK60"/>
  <c r="AO60" s="1"/>
  <c r="M60"/>
  <c r="N60" s="1"/>
  <c r="AT59"/>
  <c r="AU59" s="1"/>
  <c r="AS59"/>
  <c r="AK59"/>
  <c r="AO59" s="1"/>
  <c r="M59"/>
  <c r="N59" s="1"/>
  <c r="AT58"/>
  <c r="AT57"/>
  <c r="AU57" s="1"/>
  <c r="AS57"/>
  <c r="AO57"/>
  <c r="AK57"/>
  <c r="N57"/>
  <c r="M57"/>
  <c r="AU56"/>
  <c r="AT56"/>
  <c r="AS56"/>
  <c r="AM56"/>
  <c r="AL56"/>
  <c r="AK56"/>
  <c r="AO56" s="1"/>
  <c r="M56"/>
  <c r="N56" s="1"/>
  <c r="AT55"/>
  <c r="AU55" s="1"/>
  <c r="AS55"/>
  <c r="AO55"/>
  <c r="AK55"/>
  <c r="N55"/>
  <c r="M55"/>
  <c r="AT54"/>
  <c r="AT53"/>
  <c r="AT52"/>
  <c r="AT51"/>
  <c r="AT50"/>
  <c r="AT49"/>
  <c r="AU49" s="1"/>
  <c r="AS49"/>
  <c r="AK49"/>
  <c r="M49"/>
  <c r="N49" s="1"/>
  <c r="AT48"/>
  <c r="AU48" s="1"/>
  <c r="AS48"/>
  <c r="AO48"/>
  <c r="AM48"/>
  <c r="AL48"/>
  <c r="AK48"/>
  <c r="N48"/>
  <c r="M48"/>
  <c r="AT47"/>
  <c r="AT46"/>
  <c r="AT45"/>
  <c r="AT44"/>
  <c r="AT43"/>
  <c r="AT42"/>
  <c r="AT41"/>
  <c r="AT40"/>
  <c r="AT39"/>
  <c r="AT38"/>
  <c r="AT37"/>
  <c r="AT36"/>
  <c r="AU35"/>
  <c r="AT35"/>
  <c r="AS35"/>
  <c r="AK35"/>
  <c r="AO35" s="1"/>
  <c r="M35"/>
  <c r="N35" s="1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U27"/>
  <c r="AT27"/>
  <c r="AS27"/>
  <c r="AK27"/>
  <c r="AO27" s="1"/>
  <c r="M27"/>
  <c r="N27" s="1"/>
  <c r="AT26"/>
  <c r="AU26" s="1"/>
  <c r="AS26"/>
  <c r="AO26"/>
  <c r="AM26"/>
  <c r="AM100" s="1"/>
  <c r="AL26"/>
  <c r="AK26"/>
  <c r="N26"/>
  <c r="M26"/>
  <c r="AU25"/>
  <c r="AS25"/>
  <c r="AK25"/>
  <c r="AO25" s="1"/>
  <c r="M25"/>
  <c r="N25" s="1"/>
  <c r="AT24"/>
  <c r="AU24" s="1"/>
  <c r="AS24"/>
  <c r="AO24"/>
  <c r="AK24"/>
  <c r="N24"/>
  <c r="M24"/>
  <c r="AU23"/>
  <c r="AS23"/>
  <c r="AK23"/>
  <c r="AO23" s="1"/>
  <c r="M23"/>
  <c r="N23" s="1"/>
  <c r="AU22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K20" s="1"/>
  <c r="AO20" s="1"/>
  <c r="M20"/>
  <c r="N20" s="1"/>
  <c r="AT19"/>
  <c r="AU19" s="1"/>
  <c r="AS19"/>
  <c r="AK19"/>
  <c r="AO19" s="1"/>
  <c r="M19"/>
  <c r="N19" s="1"/>
  <c r="AT18"/>
  <c r="AS18"/>
  <c r="AK18"/>
  <c r="AO18" s="1"/>
  <c r="M18"/>
  <c r="N18" s="1"/>
  <c r="AV17"/>
  <c r="AV100" s="1"/>
  <c r="AU17"/>
  <c r="AS17"/>
  <c r="AS100" s="1"/>
  <c r="AL17"/>
  <c r="AL100" s="1"/>
  <c r="AK17"/>
  <c r="N17"/>
  <c r="M17"/>
  <c r="AV100" i="81"/>
  <c r="AJ100"/>
  <c r="AT100"/>
  <c r="AT99"/>
  <c r="AQ100"/>
  <c r="AP100"/>
  <c r="AN100"/>
  <c r="AI100"/>
  <c r="AH100"/>
  <c r="AG100"/>
  <c r="AF100"/>
  <c r="AD100"/>
  <c r="AC100"/>
  <c r="AB100"/>
  <c r="T100"/>
  <c r="R100"/>
  <c r="P100"/>
  <c r="K100"/>
  <c r="AT98"/>
  <c r="AT97"/>
  <c r="AU97" s="1"/>
  <c r="AS97"/>
  <c r="AO97"/>
  <c r="AK97"/>
  <c r="N97"/>
  <c r="M97"/>
  <c r="AU96"/>
  <c r="AT96"/>
  <c r="AS96"/>
  <c r="AK96"/>
  <c r="AO96" s="1"/>
  <c r="M96"/>
  <c r="N96" s="1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T80"/>
  <c r="AT79"/>
  <c r="AT78"/>
  <c r="AT77"/>
  <c r="AU77" s="1"/>
  <c r="AS77"/>
  <c r="AO77"/>
  <c r="AK77"/>
  <c r="N77"/>
  <c r="M77"/>
  <c r="AU76"/>
  <c r="AT76"/>
  <c r="AS76"/>
  <c r="AR76"/>
  <c r="AO76"/>
  <c r="AK76"/>
  <c r="N76"/>
  <c r="M76"/>
  <c r="AU75"/>
  <c r="AT75"/>
  <c r="AS75"/>
  <c r="AR75"/>
  <c r="AO75"/>
  <c r="AK75"/>
  <c r="N75"/>
  <c r="M75"/>
  <c r="AU74"/>
  <c r="AT74"/>
  <c r="AS74"/>
  <c r="AL74"/>
  <c r="AK74"/>
  <c r="AO74" s="1"/>
  <c r="N74"/>
  <c r="M74"/>
  <c r="AT73"/>
  <c r="AT72"/>
  <c r="AU72" s="1"/>
  <c r="AS72"/>
  <c r="AK72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3" s="1"/>
  <c r="AS63"/>
  <c r="AO63"/>
  <c r="AK63"/>
  <c r="N63"/>
  <c r="M63"/>
  <c r="AU62"/>
  <c r="AT62"/>
  <c r="AS62"/>
  <c r="AK62"/>
  <c r="AO62" s="1"/>
  <c r="M62"/>
  <c r="N62" s="1"/>
  <c r="AT61"/>
  <c r="AU61" s="1"/>
  <c r="AS61"/>
  <c r="AO61"/>
  <c r="AK61"/>
  <c r="N61"/>
  <c r="M61"/>
  <c r="AU60"/>
  <c r="AT60"/>
  <c r="AS60"/>
  <c r="AK60"/>
  <c r="AO60" s="1"/>
  <c r="M60"/>
  <c r="N60" s="1"/>
  <c r="AT59"/>
  <c r="AU59" s="1"/>
  <c r="AS59"/>
  <c r="AO59"/>
  <c r="AK59"/>
  <c r="N59"/>
  <c r="M59"/>
  <c r="AT58"/>
  <c r="AT57"/>
  <c r="AU57" s="1"/>
  <c r="AS57"/>
  <c r="AO57"/>
  <c r="AK57"/>
  <c r="N57"/>
  <c r="M57"/>
  <c r="AU56"/>
  <c r="AT56"/>
  <c r="AS56"/>
  <c r="AM56"/>
  <c r="AL56"/>
  <c r="AK56"/>
  <c r="AO56" s="1"/>
  <c r="M56"/>
  <c r="N56" s="1"/>
  <c r="AT55"/>
  <c r="AU55" s="1"/>
  <c r="AS55"/>
  <c r="AO55"/>
  <c r="AK55"/>
  <c r="N55"/>
  <c r="M55"/>
  <c r="AT54"/>
  <c r="AT53"/>
  <c r="AT52"/>
  <c r="AT51"/>
  <c r="AT50"/>
  <c r="AT49"/>
  <c r="AU49" s="1"/>
  <c r="AS49"/>
  <c r="AK49"/>
  <c r="M49"/>
  <c r="N49" s="1"/>
  <c r="AT48"/>
  <c r="AU48" s="1"/>
  <c r="AS48"/>
  <c r="AO48"/>
  <c r="AM48"/>
  <c r="AL48"/>
  <c r="AK48"/>
  <c r="N48"/>
  <c r="M48"/>
  <c r="AT47"/>
  <c r="AT46"/>
  <c r="AT45"/>
  <c r="AT44"/>
  <c r="AT43"/>
  <c r="AT42"/>
  <c r="AT41"/>
  <c r="AT40"/>
  <c r="AT39"/>
  <c r="AT38"/>
  <c r="AT37"/>
  <c r="AT36"/>
  <c r="AU35"/>
  <c r="AT35"/>
  <c r="AS35"/>
  <c r="AK35"/>
  <c r="AO35" s="1"/>
  <c r="M35"/>
  <c r="N35" s="1"/>
  <c r="AT34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U27"/>
  <c r="AT27"/>
  <c r="AS27"/>
  <c r="AK27"/>
  <c r="AO27" s="1"/>
  <c r="M27"/>
  <c r="N27" s="1"/>
  <c r="AT26"/>
  <c r="AU26" s="1"/>
  <c r="AS26"/>
  <c r="AO26"/>
  <c r="AM26"/>
  <c r="AM100" s="1"/>
  <c r="AL26"/>
  <c r="AK26"/>
  <c r="N26"/>
  <c r="M26"/>
  <c r="AU25"/>
  <c r="AT25"/>
  <c r="AS25"/>
  <c r="AK25"/>
  <c r="AO25" s="1"/>
  <c r="M25"/>
  <c r="N25" s="1"/>
  <c r="AT24"/>
  <c r="AU24" s="1"/>
  <c r="AS24"/>
  <c r="AO24"/>
  <c r="AK24"/>
  <c r="N24"/>
  <c r="M24"/>
  <c r="AU23"/>
  <c r="AT23"/>
  <c r="AS23"/>
  <c r="AK23"/>
  <c r="AO23" s="1"/>
  <c r="M23"/>
  <c r="N23" s="1"/>
  <c r="AT22"/>
  <c r="AU22" s="1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E100" s="1"/>
  <c r="M20"/>
  <c r="N20" s="1"/>
  <c r="AT19"/>
  <c r="AU19" s="1"/>
  <c r="AS19"/>
  <c r="AO19"/>
  <c r="AK19"/>
  <c r="N19"/>
  <c r="M19"/>
  <c r="AU18"/>
  <c r="AT18"/>
  <c r="AS18"/>
  <c r="AK18"/>
  <c r="AO18" s="1"/>
  <c r="M18"/>
  <c r="N18" s="1"/>
  <c r="AV17"/>
  <c r="AU17"/>
  <c r="AS17"/>
  <c r="AS100" s="1"/>
  <c r="AL17"/>
  <c r="AL100" s="1"/>
  <c r="AK17"/>
  <c r="N17"/>
  <c r="M17"/>
  <c r="AQ99" i="80"/>
  <c r="AP99"/>
  <c r="AN99"/>
  <c r="AJ99"/>
  <c r="AI99"/>
  <c r="AH99"/>
  <c r="AG99"/>
  <c r="AF99"/>
  <c r="AD99"/>
  <c r="AC99"/>
  <c r="AB99"/>
  <c r="T99"/>
  <c r="R99"/>
  <c r="P99"/>
  <c r="K99"/>
  <c r="AT98"/>
  <c r="AU97"/>
  <c r="AT97"/>
  <c r="AS97"/>
  <c r="AK97"/>
  <c r="AO97" s="1"/>
  <c r="M97"/>
  <c r="N97" s="1"/>
  <c r="AT96"/>
  <c r="AU96" s="1"/>
  <c r="AS96"/>
  <c r="AO96"/>
  <c r="AK96"/>
  <c r="N96"/>
  <c r="M96"/>
  <c r="AT95"/>
  <c r="AT94"/>
  <c r="AT93"/>
  <c r="AT92"/>
  <c r="AT91"/>
  <c r="AT90"/>
  <c r="AT89"/>
  <c r="AT88"/>
  <c r="AT87"/>
  <c r="AT86"/>
  <c r="AT85"/>
  <c r="AT84"/>
  <c r="AT83"/>
  <c r="AT82"/>
  <c r="AU82" s="1"/>
  <c r="AS82"/>
  <c r="AO82"/>
  <c r="AK82"/>
  <c r="N82"/>
  <c r="M82"/>
  <c r="AT81"/>
  <c r="AT80"/>
  <c r="AT79"/>
  <c r="AT78"/>
  <c r="AU77"/>
  <c r="AT77"/>
  <c r="AS77"/>
  <c r="AK77"/>
  <c r="AO77" s="1"/>
  <c r="M77"/>
  <c r="N77" s="1"/>
  <c r="AT76"/>
  <c r="AU76" s="1"/>
  <c r="AR76"/>
  <c r="AS76" s="1"/>
  <c r="AK76"/>
  <c r="AO76" s="1"/>
  <c r="M76"/>
  <c r="N76" s="1"/>
  <c r="AT75"/>
  <c r="AU75" s="1"/>
  <c r="AR75"/>
  <c r="AS75" s="1"/>
  <c r="AK75"/>
  <c r="AO75" s="1"/>
  <c r="M75"/>
  <c r="N75" s="1"/>
  <c r="AT74"/>
  <c r="AU74" s="1"/>
  <c r="AS74"/>
  <c r="AL74"/>
  <c r="AK74"/>
  <c r="AO74" s="1"/>
  <c r="M74"/>
  <c r="N74" s="1"/>
  <c r="AT73"/>
  <c r="AU72"/>
  <c r="AT72"/>
  <c r="AS72"/>
  <c r="AK72"/>
  <c r="N72"/>
  <c r="M72"/>
  <c r="AU71"/>
  <c r="AT71"/>
  <c r="AS71"/>
  <c r="AK71"/>
  <c r="AO71" s="1"/>
  <c r="M71"/>
  <c r="N71" s="1"/>
  <c r="AT70"/>
  <c r="AU70" s="1"/>
  <c r="AS70"/>
  <c r="AO70"/>
  <c r="AK70"/>
  <c r="N70"/>
  <c r="M70"/>
  <c r="AU69"/>
  <c r="AT69"/>
  <c r="AS69"/>
  <c r="AK69"/>
  <c r="AO69" s="1"/>
  <c r="M69"/>
  <c r="N69" s="1"/>
  <c r="AT68"/>
  <c r="AU68" s="1"/>
  <c r="AS68"/>
  <c r="AO68"/>
  <c r="AK68"/>
  <c r="N68"/>
  <c r="M68"/>
  <c r="AU67"/>
  <c r="AT67"/>
  <c r="AS67"/>
  <c r="AK67"/>
  <c r="AO67" s="1"/>
  <c r="M67"/>
  <c r="N67" s="1"/>
  <c r="AT66"/>
  <c r="AU66" s="1"/>
  <c r="AS66"/>
  <c r="AO66"/>
  <c r="AK66"/>
  <c r="N66"/>
  <c r="M66"/>
  <c r="AU65"/>
  <c r="AT65"/>
  <c r="AS65"/>
  <c r="AK65"/>
  <c r="AO65" s="1"/>
  <c r="M65"/>
  <c r="N65" s="1"/>
  <c r="AT64"/>
  <c r="AU64" s="1"/>
  <c r="AS64"/>
  <c r="AO64"/>
  <c r="AK64"/>
  <c r="N64"/>
  <c r="M64"/>
  <c r="AU63"/>
  <c r="AT63"/>
  <c r="AS63"/>
  <c r="AK63"/>
  <c r="AO63" s="1"/>
  <c r="M63"/>
  <c r="N63" s="1"/>
  <c r="AT62"/>
  <c r="AU62" s="1"/>
  <c r="AS62"/>
  <c r="AO62"/>
  <c r="AK62"/>
  <c r="N62"/>
  <c r="M62"/>
  <c r="AU61"/>
  <c r="AT61"/>
  <c r="AS61"/>
  <c r="AK61"/>
  <c r="AO61" s="1"/>
  <c r="M61"/>
  <c r="N61" s="1"/>
  <c r="AT60"/>
  <c r="AU60" s="1"/>
  <c r="AS60"/>
  <c r="AO60"/>
  <c r="AK60"/>
  <c r="N60"/>
  <c r="M60"/>
  <c r="AT59"/>
  <c r="AU59" s="1"/>
  <c r="AS59"/>
  <c r="AK59"/>
  <c r="AO59" s="1"/>
  <c r="M59"/>
  <c r="N59" s="1"/>
  <c r="AT58"/>
  <c r="AU57"/>
  <c r="AT57"/>
  <c r="AS57"/>
  <c r="AK57"/>
  <c r="AO57" s="1"/>
  <c r="M57"/>
  <c r="N57" s="1"/>
  <c r="AT56"/>
  <c r="AU56" s="1"/>
  <c r="AS56"/>
  <c r="AL56"/>
  <c r="AM56" s="1"/>
  <c r="AO56" s="1"/>
  <c r="AK56"/>
  <c r="N56"/>
  <c r="M56"/>
  <c r="AU55"/>
  <c r="AT55"/>
  <c r="AS55"/>
  <c r="AK55"/>
  <c r="AO55" s="1"/>
  <c r="M55"/>
  <c r="N55" s="1"/>
  <c r="AT54"/>
  <c r="AT53"/>
  <c r="AT52"/>
  <c r="AT51"/>
  <c r="AT50"/>
  <c r="AU49"/>
  <c r="AT49"/>
  <c r="AS49"/>
  <c r="AK49"/>
  <c r="N49"/>
  <c r="M49"/>
  <c r="AU48"/>
  <c r="AT48"/>
  <c r="AS48"/>
  <c r="AM48"/>
  <c r="AL48"/>
  <c r="AK48"/>
  <c r="AO48" s="1"/>
  <c r="M48"/>
  <c r="N48" s="1"/>
  <c r="AT47"/>
  <c r="AT46"/>
  <c r="AT45"/>
  <c r="AT44"/>
  <c r="AT43"/>
  <c r="AT42"/>
  <c r="AT41"/>
  <c r="AT40"/>
  <c r="AT39"/>
  <c r="AT38"/>
  <c r="AT37"/>
  <c r="AT36"/>
  <c r="AT35"/>
  <c r="AU35" s="1"/>
  <c r="AS35"/>
  <c r="AO35"/>
  <c r="AK35"/>
  <c r="N35"/>
  <c r="M35"/>
  <c r="AT34"/>
  <c r="AT33"/>
  <c r="AT32"/>
  <c r="AT31"/>
  <c r="AU30"/>
  <c r="AT30"/>
  <c r="AS30"/>
  <c r="AK30"/>
  <c r="AO30" s="1"/>
  <c r="M30"/>
  <c r="N30" s="1"/>
  <c r="AT29"/>
  <c r="AU28"/>
  <c r="AT28"/>
  <c r="AS28"/>
  <c r="AK28"/>
  <c r="AO28" s="1"/>
  <c r="M28"/>
  <c r="N28" s="1"/>
  <c r="AT27"/>
  <c r="AU27" s="1"/>
  <c r="AS27"/>
  <c r="AO27"/>
  <c r="AK27"/>
  <c r="N27"/>
  <c r="M27"/>
  <c r="AU26"/>
  <c r="AT26"/>
  <c r="AS26"/>
  <c r="AO26"/>
  <c r="AM26"/>
  <c r="AM99" s="1"/>
  <c r="AL26"/>
  <c r="AK26"/>
  <c r="M26"/>
  <c r="N26" s="1"/>
  <c r="AT25"/>
  <c r="AU25" s="1"/>
  <c r="AS25"/>
  <c r="AO25"/>
  <c r="AK25"/>
  <c r="N25"/>
  <c r="M25"/>
  <c r="AU24"/>
  <c r="AT24"/>
  <c r="AS24"/>
  <c r="AK24"/>
  <c r="AO24" s="1"/>
  <c r="M24"/>
  <c r="N24" s="1"/>
  <c r="AT23"/>
  <c r="AU23" s="1"/>
  <c r="AS23"/>
  <c r="AO23"/>
  <c r="AK23"/>
  <c r="N23"/>
  <c r="M23"/>
  <c r="AU22"/>
  <c r="AT22"/>
  <c r="AS22"/>
  <c r="AK22"/>
  <c r="AO22" s="1"/>
  <c r="M22"/>
  <c r="N22" s="1"/>
  <c r="AT21"/>
  <c r="AU21" s="1"/>
  <c r="AS21"/>
  <c r="AO21"/>
  <c r="AK21"/>
  <c r="N21"/>
  <c r="M21"/>
  <c r="AU20"/>
  <c r="AT20"/>
  <c r="AS20"/>
  <c r="AK20"/>
  <c r="AO20" s="1"/>
  <c r="AE20"/>
  <c r="AE99" s="1"/>
  <c r="N20"/>
  <c r="M20"/>
  <c r="AT19"/>
  <c r="AU19" s="1"/>
  <c r="AS19"/>
  <c r="AK19"/>
  <c r="AO19" s="1"/>
  <c r="M19"/>
  <c r="N19" s="1"/>
  <c r="AT18"/>
  <c r="AU18" s="1"/>
  <c r="AS18"/>
  <c r="AO18"/>
  <c r="AK18"/>
  <c r="N18"/>
  <c r="M18"/>
  <c r="AV17"/>
  <c r="AV99" s="1"/>
  <c r="AU17"/>
  <c r="AS17"/>
  <c r="AL17"/>
  <c r="AL99" s="1"/>
  <c r="AK17"/>
  <c r="M17"/>
  <c r="N17" s="1"/>
  <c r="AT99" i="79"/>
  <c r="AV99"/>
  <c r="AT98"/>
  <c r="AJ99"/>
  <c r="AT58"/>
  <c r="AT47"/>
  <c r="AT53"/>
  <c r="AT46"/>
  <c r="AQ99"/>
  <c r="AP99"/>
  <c r="AN99"/>
  <c r="AI99"/>
  <c r="AH99"/>
  <c r="AG99"/>
  <c r="AF99"/>
  <c r="AD99"/>
  <c r="AC99"/>
  <c r="AB99"/>
  <c r="T99"/>
  <c r="R99"/>
  <c r="P99"/>
  <c r="K99"/>
  <c r="AT97"/>
  <c r="AU97" s="1"/>
  <c r="AS97"/>
  <c r="AO97"/>
  <c r="AK97"/>
  <c r="N97"/>
  <c r="M97"/>
  <c r="AU96"/>
  <c r="AT96"/>
  <c r="AS96"/>
  <c r="AK96"/>
  <c r="AO96" s="1"/>
  <c r="M96"/>
  <c r="N96" s="1"/>
  <c r="AT95"/>
  <c r="AT94"/>
  <c r="AT93"/>
  <c r="AT92"/>
  <c r="AT91"/>
  <c r="AT90"/>
  <c r="AT89"/>
  <c r="AT88"/>
  <c r="AT87"/>
  <c r="AT86"/>
  <c r="AT85"/>
  <c r="AT84"/>
  <c r="AT83"/>
  <c r="AU82"/>
  <c r="AT82"/>
  <c r="AS82"/>
  <c r="AK82"/>
  <c r="AO82" s="1"/>
  <c r="M82"/>
  <c r="N82" s="1"/>
  <c r="AT81"/>
  <c r="AT80"/>
  <c r="AT79"/>
  <c r="AT78"/>
  <c r="AT77"/>
  <c r="AU77" s="1"/>
  <c r="AS77"/>
  <c r="AO77"/>
  <c r="AK77"/>
  <c r="N77"/>
  <c r="M77"/>
  <c r="AU76"/>
  <c r="AT76"/>
  <c r="AS76"/>
  <c r="AR76"/>
  <c r="AO76"/>
  <c r="AK76"/>
  <c r="N76"/>
  <c r="M76"/>
  <c r="AU75"/>
  <c r="AT75"/>
  <c r="AS75"/>
  <c r="AR75"/>
  <c r="AO75"/>
  <c r="AK75"/>
  <c r="N75"/>
  <c r="M75"/>
  <c r="AU74"/>
  <c r="AT74"/>
  <c r="AS74"/>
  <c r="AL74"/>
  <c r="AK74"/>
  <c r="AO74" s="1"/>
  <c r="N74"/>
  <c r="M74"/>
  <c r="AT73"/>
  <c r="AT72"/>
  <c r="AU72" s="1"/>
  <c r="AS72"/>
  <c r="AK72"/>
  <c r="M72"/>
  <c r="N72" s="1"/>
  <c r="AT71"/>
  <c r="AU71" s="1"/>
  <c r="AS71"/>
  <c r="AO71"/>
  <c r="AK71"/>
  <c r="N71"/>
  <c r="M71"/>
  <c r="AU70"/>
  <c r="AT70"/>
  <c r="AS70"/>
  <c r="AK70"/>
  <c r="AO70" s="1"/>
  <c r="M70"/>
  <c r="N70" s="1"/>
  <c r="AT69"/>
  <c r="AU69" s="1"/>
  <c r="AS69"/>
  <c r="AO69"/>
  <c r="AK69"/>
  <c r="N69"/>
  <c r="M69"/>
  <c r="AU68"/>
  <c r="AT68"/>
  <c r="AS68"/>
  <c r="AK68"/>
  <c r="AO68" s="1"/>
  <c r="M68"/>
  <c r="N68" s="1"/>
  <c r="AT67"/>
  <c r="AU67" s="1"/>
  <c r="AS67"/>
  <c r="AO67"/>
  <c r="AK67"/>
  <c r="N67"/>
  <c r="M67"/>
  <c r="AU66"/>
  <c r="AT66"/>
  <c r="AS66"/>
  <c r="AK66"/>
  <c r="AO66" s="1"/>
  <c r="M66"/>
  <c r="N66" s="1"/>
  <c r="AT65"/>
  <c r="AU65" s="1"/>
  <c r="AS65"/>
  <c r="AO65"/>
  <c r="AK65"/>
  <c r="N65"/>
  <c r="M65"/>
  <c r="AU64"/>
  <c r="AT64"/>
  <c r="AS64"/>
  <c r="AK64"/>
  <c r="AO64" s="1"/>
  <c r="M64"/>
  <c r="N64" s="1"/>
  <c r="AT63"/>
  <c r="AU63" s="1"/>
  <c r="AS63"/>
  <c r="AO63"/>
  <c r="AK63"/>
  <c r="N63"/>
  <c r="M63"/>
  <c r="AU62"/>
  <c r="AT62"/>
  <c r="AS62"/>
  <c r="AK62"/>
  <c r="AO62" s="1"/>
  <c r="M62"/>
  <c r="N62" s="1"/>
  <c r="AT61"/>
  <c r="AU61" s="1"/>
  <c r="AS61"/>
  <c r="AO61"/>
  <c r="AK61"/>
  <c r="N61"/>
  <c r="M61"/>
  <c r="AU60"/>
  <c r="AT60"/>
  <c r="AS60"/>
  <c r="AK60"/>
  <c r="AO60" s="1"/>
  <c r="M60"/>
  <c r="N60" s="1"/>
  <c r="AT59"/>
  <c r="AU59" s="1"/>
  <c r="AS59"/>
  <c r="AO59"/>
  <c r="AK59"/>
  <c r="N59"/>
  <c r="M59"/>
  <c r="AU57"/>
  <c r="AT57"/>
  <c r="AS57"/>
  <c r="AK57"/>
  <c r="AO57" s="1"/>
  <c r="M57"/>
  <c r="N57" s="1"/>
  <c r="AT56"/>
  <c r="AU56" s="1"/>
  <c r="AS56"/>
  <c r="AL56"/>
  <c r="AM56" s="1"/>
  <c r="AK56"/>
  <c r="N56"/>
  <c r="M56"/>
  <c r="AU55"/>
  <c r="AT55"/>
  <c r="AS55"/>
  <c r="AK55"/>
  <c r="AO55" s="1"/>
  <c r="M55"/>
  <c r="N55" s="1"/>
  <c r="AT54"/>
  <c r="AT52"/>
  <c r="AT51"/>
  <c r="AT50"/>
  <c r="AT49"/>
  <c r="AU49" s="1"/>
  <c r="AS49"/>
  <c r="AK49"/>
  <c r="M49"/>
  <c r="N49" s="1"/>
  <c r="AT48"/>
  <c r="AU48" s="1"/>
  <c r="AS48"/>
  <c r="AO48"/>
  <c r="AM48"/>
  <c r="AL48"/>
  <c r="AK48"/>
  <c r="N48"/>
  <c r="M48"/>
  <c r="AT45"/>
  <c r="AT44"/>
  <c r="AT43"/>
  <c r="AT42"/>
  <c r="AT41"/>
  <c r="AT40"/>
  <c r="AT39"/>
  <c r="AT38"/>
  <c r="AT37"/>
  <c r="AT36"/>
  <c r="AU35"/>
  <c r="AT35"/>
  <c r="AS35"/>
  <c r="AK35"/>
  <c r="AO35" s="1"/>
  <c r="M35"/>
  <c r="N35" s="1"/>
  <c r="AT34"/>
  <c r="AT33"/>
  <c r="AT32"/>
  <c r="AT31"/>
  <c r="AT30"/>
  <c r="AU30" s="1"/>
  <c r="AS30"/>
  <c r="AO30"/>
  <c r="AK30"/>
  <c r="N30"/>
  <c r="M30"/>
  <c r="AT29"/>
  <c r="AT28"/>
  <c r="AU28" s="1"/>
  <c r="AS28"/>
  <c r="AO28"/>
  <c r="AK28"/>
  <c r="N28"/>
  <c r="M28"/>
  <c r="AU27"/>
  <c r="AT27"/>
  <c r="AS27"/>
  <c r="AK27"/>
  <c r="AO27" s="1"/>
  <c r="M27"/>
  <c r="N27" s="1"/>
  <c r="AT26"/>
  <c r="AU26" s="1"/>
  <c r="AS26"/>
  <c r="AO26"/>
  <c r="AM26"/>
  <c r="AL26"/>
  <c r="AK26"/>
  <c r="N26"/>
  <c r="M26"/>
  <c r="AU25"/>
  <c r="AT25"/>
  <c r="AS25"/>
  <c r="AK25"/>
  <c r="AO25" s="1"/>
  <c r="M25"/>
  <c r="N25" s="1"/>
  <c r="AT24"/>
  <c r="AU24" s="1"/>
  <c r="AS24"/>
  <c r="AO24"/>
  <c r="AK24"/>
  <c r="N24"/>
  <c r="M24"/>
  <c r="AU23"/>
  <c r="AT23"/>
  <c r="AS23"/>
  <c r="AK23"/>
  <c r="AO23" s="1"/>
  <c r="M23"/>
  <c r="N23" s="1"/>
  <c r="AT22"/>
  <c r="AU22" s="1"/>
  <c r="AS22"/>
  <c r="AO22"/>
  <c r="AK22"/>
  <c r="N22"/>
  <c r="M22"/>
  <c r="AU21"/>
  <c r="AT21"/>
  <c r="AS21"/>
  <c r="AK21"/>
  <c r="AO21" s="1"/>
  <c r="M21"/>
  <c r="N21" s="1"/>
  <c r="AT20"/>
  <c r="AU20" s="1"/>
  <c r="AS20"/>
  <c r="AE20"/>
  <c r="AK20" s="1"/>
  <c r="AO20" s="1"/>
  <c r="M20"/>
  <c r="N20" s="1"/>
  <c r="AT19"/>
  <c r="AU19" s="1"/>
  <c r="AS19"/>
  <c r="AO19"/>
  <c r="AK19"/>
  <c r="N19"/>
  <c r="M19"/>
  <c r="AU18"/>
  <c r="AT18"/>
  <c r="AS18"/>
  <c r="AK18"/>
  <c r="AO18" s="1"/>
  <c r="M18"/>
  <c r="N18" s="1"/>
  <c r="AV17"/>
  <c r="AU17"/>
  <c r="AS17"/>
  <c r="AS99" s="1"/>
  <c r="AL17"/>
  <c r="AL99" s="1"/>
  <c r="AK17"/>
  <c r="AK99" s="1"/>
  <c r="N17"/>
  <c r="M17"/>
  <c r="AT19" i="78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U68" s="1"/>
  <c r="AT69"/>
  <c r="AT70"/>
  <c r="AT71"/>
  <c r="AT72"/>
  <c r="AT73"/>
  <c r="AT74"/>
  <c r="AT75"/>
  <c r="AT76"/>
  <c r="AT77"/>
  <c r="AT78"/>
  <c r="AT79"/>
  <c r="AT80"/>
  <c r="AT81"/>
  <c r="AT82"/>
  <c r="AT83"/>
  <c r="AT84"/>
  <c r="AT85"/>
  <c r="AT86"/>
  <c r="AT87"/>
  <c r="AT88"/>
  <c r="AT89"/>
  <c r="AT90"/>
  <c r="AT91"/>
  <c r="AT92"/>
  <c r="AT93"/>
  <c r="AT18"/>
  <c r="AQ94"/>
  <c r="AP94"/>
  <c r="AN94"/>
  <c r="AJ94"/>
  <c r="AI94"/>
  <c r="AH94"/>
  <c r="AG94"/>
  <c r="AF94"/>
  <c r="AD94"/>
  <c r="AC94"/>
  <c r="AB94"/>
  <c r="T94"/>
  <c r="R94"/>
  <c r="P94"/>
  <c r="K94"/>
  <c r="AU93"/>
  <c r="AS93"/>
  <c r="AK93"/>
  <c r="AO93" s="1"/>
  <c r="M93"/>
  <c r="N93" s="1"/>
  <c r="AU92"/>
  <c r="AS92"/>
  <c r="AO92"/>
  <c r="AK92"/>
  <c r="N92"/>
  <c r="M92"/>
  <c r="AU78"/>
  <c r="AS78"/>
  <c r="AK78"/>
  <c r="AO78" s="1"/>
  <c r="M78"/>
  <c r="N78" s="1"/>
  <c r="AU73"/>
  <c r="AS73"/>
  <c r="AK73"/>
  <c r="AO73" s="1"/>
  <c r="M73"/>
  <c r="N73" s="1"/>
  <c r="AR72"/>
  <c r="AS72" s="1"/>
  <c r="AK72"/>
  <c r="AO72" s="1"/>
  <c r="M72"/>
  <c r="N72" s="1"/>
  <c r="AR71"/>
  <c r="AS71" s="1"/>
  <c r="AK71"/>
  <c r="AO71" s="1"/>
  <c r="M71"/>
  <c r="N71" s="1"/>
  <c r="AU70"/>
  <c r="AS70"/>
  <c r="AL70"/>
  <c r="AK70"/>
  <c r="AO70" s="1"/>
  <c r="M70"/>
  <c r="N70" s="1"/>
  <c r="AS68"/>
  <c r="AK68"/>
  <c r="N68"/>
  <c r="M68"/>
  <c r="AU67"/>
  <c r="AS67"/>
  <c r="AK67"/>
  <c r="AO67" s="1"/>
  <c r="M67"/>
  <c r="N67" s="1"/>
  <c r="AU66"/>
  <c r="AS66"/>
  <c r="AO66"/>
  <c r="AK66"/>
  <c r="N66"/>
  <c r="M66"/>
  <c r="AU65"/>
  <c r="AS65"/>
  <c r="AO65"/>
  <c r="AK65"/>
  <c r="N65"/>
  <c r="M65"/>
  <c r="AU64"/>
  <c r="AS64"/>
  <c r="AO64"/>
  <c r="AK64"/>
  <c r="N64"/>
  <c r="M64"/>
  <c r="AU63"/>
  <c r="AS63"/>
  <c r="AO63"/>
  <c r="AK63"/>
  <c r="N63"/>
  <c r="M63"/>
  <c r="AU62"/>
  <c r="AS62"/>
  <c r="AK62"/>
  <c r="AO62" s="1"/>
  <c r="M62"/>
  <c r="N62" s="1"/>
  <c r="AU61"/>
  <c r="AS61"/>
  <c r="AO61"/>
  <c r="AK61"/>
  <c r="N61"/>
  <c r="M61"/>
  <c r="AU60"/>
  <c r="AS60"/>
  <c r="AO60"/>
  <c r="AK60"/>
  <c r="N60"/>
  <c r="M60"/>
  <c r="AU59"/>
  <c r="AS59"/>
  <c r="AO59"/>
  <c r="AK59"/>
  <c r="N59"/>
  <c r="M59"/>
  <c r="AU58"/>
  <c r="AS58"/>
  <c r="AK58"/>
  <c r="AO58" s="1"/>
  <c r="M58"/>
  <c r="N58" s="1"/>
  <c r="AU57"/>
  <c r="AS57"/>
  <c r="AO57"/>
  <c r="AK57"/>
  <c r="N57"/>
  <c r="M57"/>
  <c r="AU56"/>
  <c r="AS56"/>
  <c r="AO56"/>
  <c r="AK56"/>
  <c r="N56"/>
  <c r="M56"/>
  <c r="AU55"/>
  <c r="AS55"/>
  <c r="AO55"/>
  <c r="AK55"/>
  <c r="N55"/>
  <c r="M55"/>
  <c r="AU54"/>
  <c r="AS54"/>
  <c r="AO54"/>
  <c r="AK54"/>
  <c r="N54"/>
  <c r="M54"/>
  <c r="AU53"/>
  <c r="AS53"/>
  <c r="AM53"/>
  <c r="AL53"/>
  <c r="AK53"/>
  <c r="AO53" s="1"/>
  <c r="M53"/>
  <c r="N53" s="1"/>
  <c r="AU52"/>
  <c r="AS52"/>
  <c r="AO52"/>
  <c r="AK52"/>
  <c r="N52"/>
  <c r="M52"/>
  <c r="AU47"/>
  <c r="AS47"/>
  <c r="AK47"/>
  <c r="M47"/>
  <c r="N47" s="1"/>
  <c r="AU46"/>
  <c r="AS46"/>
  <c r="AO46"/>
  <c r="AM46"/>
  <c r="AL46"/>
  <c r="AK46"/>
  <c r="N46"/>
  <c r="M46"/>
  <c r="AU35"/>
  <c r="AS35"/>
  <c r="AO35"/>
  <c r="AK35"/>
  <c r="N35"/>
  <c r="M35"/>
  <c r="AU30"/>
  <c r="AS30"/>
  <c r="AO30"/>
  <c r="AK30"/>
  <c r="N30"/>
  <c r="M30"/>
  <c r="AU28"/>
  <c r="AS28"/>
  <c r="AK28"/>
  <c r="AO28" s="1"/>
  <c r="M28"/>
  <c r="N28" s="1"/>
  <c r="AU27"/>
  <c r="AS27"/>
  <c r="AO27"/>
  <c r="AK27"/>
  <c r="N27"/>
  <c r="M27"/>
  <c r="AS26"/>
  <c r="AO26"/>
  <c r="AM26"/>
  <c r="AM94" s="1"/>
  <c r="AL26"/>
  <c r="AK26"/>
  <c r="N26"/>
  <c r="M26"/>
  <c r="AU25"/>
  <c r="AS25"/>
  <c r="AK25"/>
  <c r="AO25" s="1"/>
  <c r="M25"/>
  <c r="N25" s="1"/>
  <c r="AU24"/>
  <c r="AS24"/>
  <c r="AO24"/>
  <c r="AK24"/>
  <c r="N24"/>
  <c r="M24"/>
  <c r="AU23"/>
  <c r="AS23"/>
  <c r="AK23"/>
  <c r="AO23" s="1"/>
  <c r="M23"/>
  <c r="N23" s="1"/>
  <c r="AU22"/>
  <c r="AS22"/>
  <c r="AO22"/>
  <c r="AK22"/>
  <c r="N22"/>
  <c r="M22"/>
  <c r="AU21"/>
  <c r="AS21"/>
  <c r="AK21"/>
  <c r="AO21" s="1"/>
  <c r="M21"/>
  <c r="N21" s="1"/>
  <c r="AU20"/>
  <c r="AS20"/>
  <c r="AE20"/>
  <c r="AE94" s="1"/>
  <c r="M20"/>
  <c r="N20" s="1"/>
  <c r="AU19"/>
  <c r="AS19"/>
  <c r="AO19"/>
  <c r="AK19"/>
  <c r="N19"/>
  <c r="M19"/>
  <c r="AS18"/>
  <c r="AS94" s="1"/>
  <c r="AK18"/>
  <c r="AO18" s="1"/>
  <c r="M18"/>
  <c r="N18" s="1"/>
  <c r="AV17"/>
  <c r="AU17"/>
  <c r="AS17"/>
  <c r="AL17"/>
  <c r="AL94" s="1"/>
  <c r="AK17"/>
  <c r="N17"/>
  <c r="N94" s="1"/>
  <c r="M17"/>
  <c r="AV51" i="77"/>
  <c r="AQ94"/>
  <c r="AP94"/>
  <c r="AN94"/>
  <c r="AJ94"/>
  <c r="AI94"/>
  <c r="AH94"/>
  <c r="AG94"/>
  <c r="AF94"/>
  <c r="AD94"/>
  <c r="AC94"/>
  <c r="AB94"/>
  <c r="T94"/>
  <c r="R94"/>
  <c r="P94"/>
  <c r="K94"/>
  <c r="AV93"/>
  <c r="AU93"/>
  <c r="AS93"/>
  <c r="AO93"/>
  <c r="AK93"/>
  <c r="N93"/>
  <c r="M93"/>
  <c r="AV92"/>
  <c r="AU92"/>
  <c r="AS92"/>
  <c r="AK92"/>
  <c r="AO92" s="1"/>
  <c r="M92"/>
  <c r="N92" s="1"/>
  <c r="AV91"/>
  <c r="AV90"/>
  <c r="AV89"/>
  <c r="AV88"/>
  <c r="AT88"/>
  <c r="AV87"/>
  <c r="AT87"/>
  <c r="AV86"/>
  <c r="AV85"/>
  <c r="AV84"/>
  <c r="AV83"/>
  <c r="AV82"/>
  <c r="AV81"/>
  <c r="AV80"/>
  <c r="AV79"/>
  <c r="AT78"/>
  <c r="AU78" s="1"/>
  <c r="AS78"/>
  <c r="AO78"/>
  <c r="AK78"/>
  <c r="N78"/>
  <c r="M78"/>
  <c r="AV77"/>
  <c r="AV76"/>
  <c r="AV75"/>
  <c r="AT75"/>
  <c r="AV74"/>
  <c r="AT74"/>
  <c r="AT73"/>
  <c r="AU73" s="1"/>
  <c r="AS73"/>
  <c r="AO73"/>
  <c r="AK73"/>
  <c r="N73"/>
  <c r="M73"/>
  <c r="AV72"/>
  <c r="AS72"/>
  <c r="AR72"/>
  <c r="AU72" s="1"/>
  <c r="AO72"/>
  <c r="AK72"/>
  <c r="N72"/>
  <c r="M72"/>
  <c r="AV71"/>
  <c r="AS71"/>
  <c r="AR71"/>
  <c r="AU71" s="1"/>
  <c r="AO71"/>
  <c r="AK71"/>
  <c r="N71"/>
  <c r="M71"/>
  <c r="AV70"/>
  <c r="AU70"/>
  <c r="AS70"/>
  <c r="AL70"/>
  <c r="AK70"/>
  <c r="AO70" s="1"/>
  <c r="N70"/>
  <c r="M70"/>
  <c r="AV69"/>
  <c r="AV68"/>
  <c r="AU68"/>
  <c r="AS68"/>
  <c r="AK68"/>
  <c r="M68"/>
  <c r="N68" s="1"/>
  <c r="AV67"/>
  <c r="AU67"/>
  <c r="AS67"/>
  <c r="AO67"/>
  <c r="AK67"/>
  <c r="N67"/>
  <c r="M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U60"/>
  <c r="AT60"/>
  <c r="AV60" s="1"/>
  <c r="AS60"/>
  <c r="AK60"/>
  <c r="AO60" s="1"/>
  <c r="M60"/>
  <c r="N60" s="1"/>
  <c r="AU59"/>
  <c r="AT59"/>
  <c r="AV59" s="1"/>
  <c r="AS59"/>
  <c r="AK59"/>
  <c r="AO59" s="1"/>
  <c r="M59"/>
  <c r="N59" s="1"/>
  <c r="AV58"/>
  <c r="AU58"/>
  <c r="AS58"/>
  <c r="AO58"/>
  <c r="AK58"/>
  <c r="N58"/>
  <c r="M58"/>
  <c r="AV57"/>
  <c r="AU57"/>
  <c r="AS57"/>
  <c r="AK57"/>
  <c r="AO57" s="1"/>
  <c r="M57"/>
  <c r="N57" s="1"/>
  <c r="AU56"/>
  <c r="AS56"/>
  <c r="AK56"/>
  <c r="AO56" s="1"/>
  <c r="M56"/>
  <c r="N56" s="1"/>
  <c r="AU55"/>
  <c r="AT55"/>
  <c r="AV55" s="1"/>
  <c r="AS55"/>
  <c r="AK55"/>
  <c r="AO55" s="1"/>
  <c r="M55"/>
  <c r="N55" s="1"/>
  <c r="AU54"/>
  <c r="AT54"/>
  <c r="AV54" s="1"/>
  <c r="AS54"/>
  <c r="AK54"/>
  <c r="AO54" s="1"/>
  <c r="M54"/>
  <c r="N54" s="1"/>
  <c r="AV53"/>
  <c r="AU53"/>
  <c r="AS53"/>
  <c r="AL53"/>
  <c r="AM53" s="1"/>
  <c r="AK53"/>
  <c r="M53"/>
  <c r="N53" s="1"/>
  <c r="AV52"/>
  <c r="AU52"/>
  <c r="AS52"/>
  <c r="AK52"/>
  <c r="AO52" s="1"/>
  <c r="M52"/>
  <c r="N52" s="1"/>
  <c r="AV50"/>
  <c r="AV49"/>
  <c r="AV48"/>
  <c r="AT47"/>
  <c r="AU47" s="1"/>
  <c r="AS47"/>
  <c r="AK47"/>
  <c r="M47"/>
  <c r="N47" s="1"/>
  <c r="AV46"/>
  <c r="AU46"/>
  <c r="AS46"/>
  <c r="AO46"/>
  <c r="AM46"/>
  <c r="AL46"/>
  <c r="AK46"/>
  <c r="N46"/>
  <c r="M46"/>
  <c r="AV45"/>
  <c r="AV44"/>
  <c r="AV43"/>
  <c r="AV42"/>
  <c r="AV41"/>
  <c r="AV40"/>
  <c r="AV39"/>
  <c r="AV38"/>
  <c r="AV37"/>
  <c r="AT36"/>
  <c r="AV36" s="1"/>
  <c r="AV35"/>
  <c r="AU35"/>
  <c r="AS35"/>
  <c r="AO35"/>
  <c r="AK35"/>
  <c r="N35"/>
  <c r="M35"/>
  <c r="AV34"/>
  <c r="AV33"/>
  <c r="AV32"/>
  <c r="AT31"/>
  <c r="AV31" s="1"/>
  <c r="AV30"/>
  <c r="AU30"/>
  <c r="AS30"/>
  <c r="AO30"/>
  <c r="AK30"/>
  <c r="N30"/>
  <c r="M30"/>
  <c r="AV28"/>
  <c r="AU28"/>
  <c r="AS28"/>
  <c r="AK28"/>
  <c r="AO28" s="1"/>
  <c r="M28"/>
  <c r="N28" s="1"/>
  <c r="AV27"/>
  <c r="AU27"/>
  <c r="AS27"/>
  <c r="AO27"/>
  <c r="AK27"/>
  <c r="N27"/>
  <c r="M27"/>
  <c r="AT26"/>
  <c r="AU26" s="1"/>
  <c r="AS26"/>
  <c r="AO26"/>
  <c r="AM26"/>
  <c r="AM94" s="1"/>
  <c r="AL26"/>
  <c r="AK26"/>
  <c r="N26"/>
  <c r="M26"/>
  <c r="AV25"/>
  <c r="AU25"/>
  <c r="AS25"/>
  <c r="AK25"/>
  <c r="AO25" s="1"/>
  <c r="M25"/>
  <c r="N25" s="1"/>
  <c r="AV24"/>
  <c r="AU24"/>
  <c r="AS24"/>
  <c r="AO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S94" s="1"/>
  <c r="AL17"/>
  <c r="AL94" s="1"/>
  <c r="AK17"/>
  <c r="AK94" s="1"/>
  <c r="N17"/>
  <c r="M17"/>
  <c r="AT36" i="76"/>
  <c r="AT31"/>
  <c r="AT88"/>
  <c r="AT87"/>
  <c r="AT78"/>
  <c r="AT75"/>
  <c r="AT74"/>
  <c r="AT55"/>
  <c r="N116" i="90" l="1"/>
  <c r="AU116"/>
  <c r="AT116"/>
  <c r="N116" i="89"/>
  <c r="AU116"/>
  <c r="AT116"/>
  <c r="N116" i="88"/>
  <c r="AU116"/>
  <c r="AE116"/>
  <c r="AS81"/>
  <c r="AS116" s="1"/>
  <c r="AT107" i="87"/>
  <c r="N107"/>
  <c r="AU107"/>
  <c r="AE107"/>
  <c r="AU75" i="86"/>
  <c r="AO56"/>
  <c r="AS105"/>
  <c r="AM105"/>
  <c r="AT105"/>
  <c r="N105"/>
  <c r="AU105"/>
  <c r="AK20"/>
  <c r="AO20" s="1"/>
  <c r="AO105" s="1"/>
  <c r="AU100" i="85"/>
  <c r="N100"/>
  <c r="AS100"/>
  <c r="AT100"/>
  <c r="AO100"/>
  <c r="AK20"/>
  <c r="AO20" s="1"/>
  <c r="N100" i="84"/>
  <c r="AU100"/>
  <c r="AO100"/>
  <c r="AK20"/>
  <c r="AO20" s="1"/>
  <c r="N100" i="83"/>
  <c r="AU100"/>
  <c r="AT100"/>
  <c r="AT100" i="82"/>
  <c r="AU18"/>
  <c r="N100"/>
  <c r="AU100"/>
  <c r="AK100"/>
  <c r="AO100"/>
  <c r="AE100"/>
  <c r="N100" i="81"/>
  <c r="AU100"/>
  <c r="AO100"/>
  <c r="AK20"/>
  <c r="AO20" s="1"/>
  <c r="N99" i="80"/>
  <c r="AK99"/>
  <c r="AS99"/>
  <c r="AU99"/>
  <c r="AO99"/>
  <c r="AT99"/>
  <c r="N99" i="79"/>
  <c r="AU99"/>
  <c r="AM99"/>
  <c r="AO56"/>
  <c r="AO99" s="1"/>
  <c r="AE99"/>
  <c r="AU71" i="78"/>
  <c r="AU72"/>
  <c r="AK20"/>
  <c r="AO20" s="1"/>
  <c r="AO94" s="1"/>
  <c r="AU26"/>
  <c r="N94" i="77"/>
  <c r="AU94"/>
  <c r="AO53"/>
  <c r="AO94"/>
  <c r="AV26"/>
  <c r="AV94" s="1"/>
  <c r="AV47"/>
  <c r="AV73"/>
  <c r="AV78"/>
  <c r="AE94"/>
  <c r="AT94"/>
  <c r="AQ94" i="76"/>
  <c r="AP94"/>
  <c r="AN94"/>
  <c r="AJ94"/>
  <c r="AI94"/>
  <c r="AH94"/>
  <c r="AG94"/>
  <c r="AF94"/>
  <c r="AD94"/>
  <c r="AC94"/>
  <c r="AB94"/>
  <c r="T94"/>
  <c r="R94"/>
  <c r="P94"/>
  <c r="K94"/>
  <c r="AV93"/>
  <c r="AU93"/>
  <c r="AS93"/>
  <c r="AO93"/>
  <c r="AK93"/>
  <c r="N93"/>
  <c r="M93"/>
  <c r="AV92"/>
  <c r="AU92"/>
  <c r="AS92"/>
  <c r="AK92"/>
  <c r="AO92" s="1"/>
  <c r="M92"/>
  <c r="N92" s="1"/>
  <c r="AV91"/>
  <c r="AV90"/>
  <c r="AV89"/>
  <c r="AV88"/>
  <c r="AV87"/>
  <c r="AV86"/>
  <c r="AV85"/>
  <c r="AV84"/>
  <c r="AV83"/>
  <c r="AV82"/>
  <c r="AV81"/>
  <c r="AV80"/>
  <c r="AV79"/>
  <c r="AV78"/>
  <c r="AU78"/>
  <c r="AS78"/>
  <c r="AK78"/>
  <c r="AO78" s="1"/>
  <c r="M78"/>
  <c r="N78" s="1"/>
  <c r="AV77"/>
  <c r="AV76"/>
  <c r="AV75"/>
  <c r="AV74"/>
  <c r="AU73"/>
  <c r="AT73"/>
  <c r="AV73" s="1"/>
  <c r="AS73"/>
  <c r="AK73"/>
  <c r="AO73" s="1"/>
  <c r="M73"/>
  <c r="N73" s="1"/>
  <c r="AV72"/>
  <c r="AR72"/>
  <c r="AS72" s="1"/>
  <c r="AK72"/>
  <c r="AO72" s="1"/>
  <c r="M72"/>
  <c r="N72" s="1"/>
  <c r="AV71"/>
  <c r="AR71"/>
  <c r="AS71" s="1"/>
  <c r="AK71"/>
  <c r="AO71" s="1"/>
  <c r="M71"/>
  <c r="N71" s="1"/>
  <c r="AV70"/>
  <c r="AU70"/>
  <c r="AS70"/>
  <c r="AL70"/>
  <c r="AK70"/>
  <c r="AO70" s="1"/>
  <c r="M70"/>
  <c r="N70" s="1"/>
  <c r="AV69"/>
  <c r="AV68"/>
  <c r="AU68"/>
  <c r="AS68"/>
  <c r="AK68"/>
  <c r="N68"/>
  <c r="M68"/>
  <c r="AV67"/>
  <c r="AU67"/>
  <c r="AS67"/>
  <c r="AK67"/>
  <c r="AO67" s="1"/>
  <c r="M67"/>
  <c r="N67" s="1"/>
  <c r="AV66"/>
  <c r="AU66"/>
  <c r="AS66"/>
  <c r="AO66"/>
  <c r="AK66"/>
  <c r="N66"/>
  <c r="M66"/>
  <c r="AT65"/>
  <c r="AU65" s="1"/>
  <c r="AS65"/>
  <c r="AO65"/>
  <c r="AK65"/>
  <c r="N65"/>
  <c r="M65"/>
  <c r="AT64"/>
  <c r="AU64" s="1"/>
  <c r="AS64"/>
  <c r="AO64"/>
  <c r="AK64"/>
  <c r="N64"/>
  <c r="M64"/>
  <c r="AT63"/>
  <c r="AU63" s="1"/>
  <c r="AS63"/>
  <c r="AO63"/>
  <c r="AK63"/>
  <c r="N63"/>
  <c r="M63"/>
  <c r="AV62"/>
  <c r="AU62"/>
  <c r="AS62"/>
  <c r="AK62"/>
  <c r="AO62" s="1"/>
  <c r="M62"/>
  <c r="N62" s="1"/>
  <c r="AV61"/>
  <c r="AU61"/>
  <c r="AS61"/>
  <c r="AO61"/>
  <c r="AK61"/>
  <c r="N61"/>
  <c r="M61"/>
  <c r="AT60"/>
  <c r="AU60" s="1"/>
  <c r="AS60"/>
  <c r="AO60"/>
  <c r="AK60"/>
  <c r="N60"/>
  <c r="M60"/>
  <c r="AT59"/>
  <c r="AU59" s="1"/>
  <c r="AS59"/>
  <c r="AO59"/>
  <c r="AK59"/>
  <c r="N59"/>
  <c r="M59"/>
  <c r="AV58"/>
  <c r="AU58"/>
  <c r="AS58"/>
  <c r="AK58"/>
  <c r="AO58" s="1"/>
  <c r="M58"/>
  <c r="N58" s="1"/>
  <c r="AV57"/>
  <c r="AU57"/>
  <c r="AS57"/>
  <c r="AO57"/>
  <c r="AK57"/>
  <c r="N57"/>
  <c r="M57"/>
  <c r="AU56"/>
  <c r="AS56"/>
  <c r="AO56"/>
  <c r="AK56"/>
  <c r="N56"/>
  <c r="M56"/>
  <c r="AV55"/>
  <c r="AU55"/>
  <c r="AS55"/>
  <c r="AK55"/>
  <c r="AO55" s="1"/>
  <c r="M55"/>
  <c r="N55" s="1"/>
  <c r="AU54"/>
  <c r="AT54"/>
  <c r="AV54" s="1"/>
  <c r="AS54"/>
  <c r="AK54"/>
  <c r="AO54" s="1"/>
  <c r="M54"/>
  <c r="N54" s="1"/>
  <c r="AV53"/>
  <c r="AU53"/>
  <c r="AS53"/>
  <c r="AL53"/>
  <c r="AM53" s="1"/>
  <c r="AO53" s="1"/>
  <c r="AK53"/>
  <c r="N53"/>
  <c r="M53"/>
  <c r="AV52"/>
  <c r="AU52"/>
  <c r="AS52"/>
  <c r="AK52"/>
  <c r="AO52" s="1"/>
  <c r="M52"/>
  <c r="N52" s="1"/>
  <c r="AV50"/>
  <c r="AV49"/>
  <c r="AV48"/>
  <c r="AT47"/>
  <c r="AU47" s="1"/>
  <c r="AS47"/>
  <c r="AK47"/>
  <c r="M47"/>
  <c r="N47" s="1"/>
  <c r="AV46"/>
  <c r="AU46"/>
  <c r="AS46"/>
  <c r="AO46"/>
  <c r="AM46"/>
  <c r="AL46"/>
  <c r="AK46"/>
  <c r="N46"/>
  <c r="M46"/>
  <c r="AV45"/>
  <c r="AV44"/>
  <c r="AV43"/>
  <c r="AV42"/>
  <c r="AV41"/>
  <c r="AV40"/>
  <c r="AV39"/>
  <c r="AV38"/>
  <c r="AV37"/>
  <c r="AV36"/>
  <c r="AV35"/>
  <c r="AU35"/>
  <c r="AS35"/>
  <c r="AK35"/>
  <c r="AO35" s="1"/>
  <c r="M35"/>
  <c r="N35" s="1"/>
  <c r="AV34"/>
  <c r="AV33"/>
  <c r="AV32"/>
  <c r="AV31"/>
  <c r="AV30"/>
  <c r="AU30"/>
  <c r="AS30"/>
  <c r="AO30"/>
  <c r="AK30"/>
  <c r="N30"/>
  <c r="M30"/>
  <c r="AV28"/>
  <c r="AU28"/>
  <c r="AS28"/>
  <c r="AK28"/>
  <c r="AO28" s="1"/>
  <c r="M28"/>
  <c r="N28" s="1"/>
  <c r="AV27"/>
  <c r="AU27"/>
  <c r="AS27"/>
  <c r="AO27"/>
  <c r="AK27"/>
  <c r="N27"/>
  <c r="M27"/>
  <c r="AT26"/>
  <c r="AU26" s="1"/>
  <c r="AS26"/>
  <c r="AO26"/>
  <c r="AM26"/>
  <c r="AM94" s="1"/>
  <c r="AL26"/>
  <c r="AK26"/>
  <c r="N26"/>
  <c r="M26"/>
  <c r="AV25"/>
  <c r="AU25"/>
  <c r="AS25"/>
  <c r="AK25"/>
  <c r="AO25" s="1"/>
  <c r="M25"/>
  <c r="N25" s="1"/>
  <c r="AV24"/>
  <c r="AU24"/>
  <c r="AS24"/>
  <c r="AO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AO94" s="1"/>
  <c r="M18"/>
  <c r="N18" s="1"/>
  <c r="AV17"/>
  <c r="AU17"/>
  <c r="AS17"/>
  <c r="AS94" s="1"/>
  <c r="AL17"/>
  <c r="AL94" s="1"/>
  <c r="AK17"/>
  <c r="AK94" s="1"/>
  <c r="N17"/>
  <c r="M17"/>
  <c r="AQ94" i="75"/>
  <c r="AP94"/>
  <c r="AN94"/>
  <c r="AJ94"/>
  <c r="AI94"/>
  <c r="AH94"/>
  <c r="AG94"/>
  <c r="AF94"/>
  <c r="AD94"/>
  <c r="AC94"/>
  <c r="AB94"/>
  <c r="T94"/>
  <c r="R94"/>
  <c r="P94"/>
  <c r="K94"/>
  <c r="AV93"/>
  <c r="AU93"/>
  <c r="AS93"/>
  <c r="AK93"/>
  <c r="AO93" s="1"/>
  <c r="M93"/>
  <c r="N93" s="1"/>
  <c r="AV92"/>
  <c r="AU92"/>
  <c r="AS92"/>
  <c r="AO92"/>
  <c r="AK92"/>
  <c r="N92"/>
  <c r="M92"/>
  <c r="AV91"/>
  <c r="AV90"/>
  <c r="AV89"/>
  <c r="AV88"/>
  <c r="AV87"/>
  <c r="AV86"/>
  <c r="AV85"/>
  <c r="AV84"/>
  <c r="AV83"/>
  <c r="AV82"/>
  <c r="AV81"/>
  <c r="AV80"/>
  <c r="AV79"/>
  <c r="AV78"/>
  <c r="AU78"/>
  <c r="AS78"/>
  <c r="AO78"/>
  <c r="AK78"/>
  <c r="N78"/>
  <c r="M78"/>
  <c r="AV77"/>
  <c r="AV76"/>
  <c r="AV75"/>
  <c r="AV74"/>
  <c r="AT73"/>
  <c r="AV73" s="1"/>
  <c r="AS73"/>
  <c r="AO73"/>
  <c r="AK73"/>
  <c r="N73"/>
  <c r="M73"/>
  <c r="AV72"/>
  <c r="AS72"/>
  <c r="AR72"/>
  <c r="AU72" s="1"/>
  <c r="AO72"/>
  <c r="AK72"/>
  <c r="N72"/>
  <c r="M72"/>
  <c r="AV71"/>
  <c r="AS71"/>
  <c r="AR71"/>
  <c r="AU71" s="1"/>
  <c r="AO71"/>
  <c r="AK71"/>
  <c r="N71"/>
  <c r="M71"/>
  <c r="AV70"/>
  <c r="AU70"/>
  <c r="AS70"/>
  <c r="AL70"/>
  <c r="AK70"/>
  <c r="AO70" s="1"/>
  <c r="N70"/>
  <c r="M70"/>
  <c r="AV69"/>
  <c r="AV68"/>
  <c r="AU68"/>
  <c r="AS68"/>
  <c r="AK68"/>
  <c r="M68"/>
  <c r="N68" s="1"/>
  <c r="AV67"/>
  <c r="AU67"/>
  <c r="AS67"/>
  <c r="AK67"/>
  <c r="AO67" s="1"/>
  <c r="N67"/>
  <c r="M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U60"/>
  <c r="AT60"/>
  <c r="AV60" s="1"/>
  <c r="AS60"/>
  <c r="AK60"/>
  <c r="AO60" s="1"/>
  <c r="M60"/>
  <c r="N60" s="1"/>
  <c r="AU59"/>
  <c r="AT59"/>
  <c r="AV59" s="1"/>
  <c r="AS59"/>
  <c r="AK59"/>
  <c r="AO59" s="1"/>
  <c r="M59"/>
  <c r="N59" s="1"/>
  <c r="AV58"/>
  <c r="AU58"/>
  <c r="AS58"/>
  <c r="AK58"/>
  <c r="AO58" s="1"/>
  <c r="N58"/>
  <c r="M58"/>
  <c r="AV57"/>
  <c r="AU57"/>
  <c r="AS57"/>
  <c r="AK57"/>
  <c r="AO57" s="1"/>
  <c r="M57"/>
  <c r="N57" s="1"/>
  <c r="AU56"/>
  <c r="AS56"/>
  <c r="AO56"/>
  <c r="AK56"/>
  <c r="N56"/>
  <c r="M56"/>
  <c r="AV55"/>
  <c r="AU55"/>
  <c r="AS55"/>
  <c r="AK55"/>
  <c r="AO55" s="1"/>
  <c r="M55"/>
  <c r="N55" s="1"/>
  <c r="AT54"/>
  <c r="AV54" s="1"/>
  <c r="AS54"/>
  <c r="AK54"/>
  <c r="AO54" s="1"/>
  <c r="M54"/>
  <c r="N54" s="1"/>
  <c r="AV53"/>
  <c r="AU53"/>
  <c r="AS53"/>
  <c r="AL53"/>
  <c r="AM53" s="1"/>
  <c r="AK53"/>
  <c r="M53"/>
  <c r="N53" s="1"/>
  <c r="AV52"/>
  <c r="AU52"/>
  <c r="AS52"/>
  <c r="AO52"/>
  <c r="AK52"/>
  <c r="N52"/>
  <c r="M52"/>
  <c r="AV50"/>
  <c r="AV49"/>
  <c r="AV48"/>
  <c r="AU47"/>
  <c r="AT47"/>
  <c r="AV47" s="1"/>
  <c r="AS47"/>
  <c r="AK47"/>
  <c r="N47"/>
  <c r="M47"/>
  <c r="AV46"/>
  <c r="AU46"/>
  <c r="AS46"/>
  <c r="AM46"/>
  <c r="AL46"/>
  <c r="AK46"/>
  <c r="AO46" s="1"/>
  <c r="M46"/>
  <c r="N46" s="1"/>
  <c r="AV45"/>
  <c r="AV44"/>
  <c r="AV43"/>
  <c r="AV42"/>
  <c r="AV41"/>
  <c r="AV40"/>
  <c r="AV39"/>
  <c r="AV38"/>
  <c r="AV37"/>
  <c r="AV36"/>
  <c r="AV35"/>
  <c r="AU35"/>
  <c r="AS35"/>
  <c r="AK35"/>
  <c r="AO35" s="1"/>
  <c r="N35"/>
  <c r="M35"/>
  <c r="AV34"/>
  <c r="AV33"/>
  <c r="AV32"/>
  <c r="AV31"/>
  <c r="AV30"/>
  <c r="AU30"/>
  <c r="AS30"/>
  <c r="AK30"/>
  <c r="AO30" s="1"/>
  <c r="M30"/>
  <c r="N30" s="1"/>
  <c r="AV28"/>
  <c r="AU28"/>
  <c r="AS28"/>
  <c r="AO28"/>
  <c r="AK28"/>
  <c r="N28"/>
  <c r="M28"/>
  <c r="AV27"/>
  <c r="AU27"/>
  <c r="AS27"/>
  <c r="AK27"/>
  <c r="AO27" s="1"/>
  <c r="M27"/>
  <c r="N27" s="1"/>
  <c r="AU26"/>
  <c r="AT26"/>
  <c r="AT94" s="1"/>
  <c r="AS26"/>
  <c r="AO26"/>
  <c r="AM26"/>
  <c r="AL26"/>
  <c r="AK26"/>
  <c r="M26"/>
  <c r="N26" s="1"/>
  <c r="AV25"/>
  <c r="AU25"/>
  <c r="AS25"/>
  <c r="AK25"/>
  <c r="AO25" s="1"/>
  <c r="N25"/>
  <c r="M25"/>
  <c r="AV24"/>
  <c r="AU24"/>
  <c r="AS24"/>
  <c r="AK24"/>
  <c r="AO24" s="1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M21"/>
  <c r="N21" s="1"/>
  <c r="AV20"/>
  <c r="AU20"/>
  <c r="AS20"/>
  <c r="AK20"/>
  <c r="AO20" s="1"/>
  <c r="AE20"/>
  <c r="AE94" s="1"/>
  <c r="N20"/>
  <c r="M20"/>
  <c r="AV19"/>
  <c r="AU19"/>
  <c r="AS19"/>
  <c r="AK19"/>
  <c r="AO19" s="1"/>
  <c r="M19"/>
  <c r="N19" s="1"/>
  <c r="AV18"/>
  <c r="AU18"/>
  <c r="AS18"/>
  <c r="AO18"/>
  <c r="AK18"/>
  <c r="N18"/>
  <c r="M18"/>
  <c r="AV17"/>
  <c r="AU17"/>
  <c r="AS17"/>
  <c r="AS94" s="1"/>
  <c r="AL17"/>
  <c r="AL94" s="1"/>
  <c r="AK17"/>
  <c r="AK94" s="1"/>
  <c r="M17"/>
  <c r="N17" s="1"/>
  <c r="AQ94" i="74"/>
  <c r="AP94"/>
  <c r="AN94"/>
  <c r="AJ94"/>
  <c r="AI94"/>
  <c r="AH94"/>
  <c r="AG94"/>
  <c r="AF94"/>
  <c r="AD94"/>
  <c r="AC94"/>
  <c r="AB94"/>
  <c r="T94"/>
  <c r="R94"/>
  <c r="P94"/>
  <c r="K94"/>
  <c r="AV93"/>
  <c r="AU93"/>
  <c r="AS93"/>
  <c r="AO93"/>
  <c r="AK93"/>
  <c r="N93"/>
  <c r="M93"/>
  <c r="AV92"/>
  <c r="AU92"/>
  <c r="AS92"/>
  <c r="AK92"/>
  <c r="AO92" s="1"/>
  <c r="M92"/>
  <c r="N92" s="1"/>
  <c r="AV91"/>
  <c r="AV90"/>
  <c r="AV89"/>
  <c r="AV88"/>
  <c r="AV87"/>
  <c r="AV86"/>
  <c r="AV85"/>
  <c r="AV84"/>
  <c r="AV83"/>
  <c r="AV82"/>
  <c r="AV81"/>
  <c r="AV80"/>
  <c r="AV79"/>
  <c r="AV78"/>
  <c r="AU78"/>
  <c r="AS78"/>
  <c r="AK78"/>
  <c r="AO78" s="1"/>
  <c r="M78"/>
  <c r="N78" s="1"/>
  <c r="AV77"/>
  <c r="AV76"/>
  <c r="AV75"/>
  <c r="AV74"/>
  <c r="AU73"/>
  <c r="AT73"/>
  <c r="AV73" s="1"/>
  <c r="AS73"/>
  <c r="AK73"/>
  <c r="AO73" s="1"/>
  <c r="M73"/>
  <c r="N73" s="1"/>
  <c r="AV72"/>
  <c r="AR72"/>
  <c r="AS72" s="1"/>
  <c r="AK72"/>
  <c r="AO72" s="1"/>
  <c r="M72"/>
  <c r="N72" s="1"/>
  <c r="AV71"/>
  <c r="AR71"/>
  <c r="AS71" s="1"/>
  <c r="AK71"/>
  <c r="AO71" s="1"/>
  <c r="M71"/>
  <c r="N71" s="1"/>
  <c r="AV70"/>
  <c r="AU70"/>
  <c r="AS70"/>
  <c r="AL70"/>
  <c r="AK70"/>
  <c r="AO70" s="1"/>
  <c r="M70"/>
  <c r="N70" s="1"/>
  <c r="AV69"/>
  <c r="AV68"/>
  <c r="AU68"/>
  <c r="AS68"/>
  <c r="AK68"/>
  <c r="N68"/>
  <c r="M68"/>
  <c r="AV67"/>
  <c r="AU67"/>
  <c r="AS67"/>
  <c r="AK67"/>
  <c r="AO67" s="1"/>
  <c r="M67"/>
  <c r="N67" s="1"/>
  <c r="AV66"/>
  <c r="AU66"/>
  <c r="AS66"/>
  <c r="AO66"/>
  <c r="AK66"/>
  <c r="N66"/>
  <c r="M66"/>
  <c r="AT65"/>
  <c r="AU65" s="1"/>
  <c r="AS65"/>
  <c r="AO65"/>
  <c r="AK65"/>
  <c r="N65"/>
  <c r="M65"/>
  <c r="AT64"/>
  <c r="AU64" s="1"/>
  <c r="AS64"/>
  <c r="AO64"/>
  <c r="AK64"/>
  <c r="N64"/>
  <c r="M64"/>
  <c r="AT63"/>
  <c r="AU63" s="1"/>
  <c r="AS63"/>
  <c r="AO63"/>
  <c r="AK63"/>
  <c r="N63"/>
  <c r="M63"/>
  <c r="AV62"/>
  <c r="AU62"/>
  <c r="AS62"/>
  <c r="AK62"/>
  <c r="AO62" s="1"/>
  <c r="M62"/>
  <c r="N62" s="1"/>
  <c r="AV61"/>
  <c r="AU61"/>
  <c r="AS61"/>
  <c r="AO61"/>
  <c r="AK61"/>
  <c r="N61"/>
  <c r="M61"/>
  <c r="AT60"/>
  <c r="AU60" s="1"/>
  <c r="AS60"/>
  <c r="AO60"/>
  <c r="AK60"/>
  <c r="N60"/>
  <c r="M60"/>
  <c r="AT59"/>
  <c r="AU59" s="1"/>
  <c r="AS59"/>
  <c r="AO59"/>
  <c r="AK59"/>
  <c r="N59"/>
  <c r="M59"/>
  <c r="AV58"/>
  <c r="AU58"/>
  <c r="AS58"/>
  <c r="AK58"/>
  <c r="AO58" s="1"/>
  <c r="M58"/>
  <c r="N58" s="1"/>
  <c r="AV57"/>
  <c r="AU57"/>
  <c r="AS57"/>
  <c r="AO57"/>
  <c r="AK57"/>
  <c r="N57"/>
  <c r="M57"/>
  <c r="AU56"/>
  <c r="AS56"/>
  <c r="AO56"/>
  <c r="AK56"/>
  <c r="N56"/>
  <c r="M56"/>
  <c r="AV55"/>
  <c r="AU55"/>
  <c r="AS55"/>
  <c r="AK55"/>
  <c r="AO55" s="1"/>
  <c r="M55"/>
  <c r="N55" s="1"/>
  <c r="AU54"/>
  <c r="AT54"/>
  <c r="AV54" s="1"/>
  <c r="AS54"/>
  <c r="AK54"/>
  <c r="AO54" s="1"/>
  <c r="M54"/>
  <c r="N54" s="1"/>
  <c r="AV53"/>
  <c r="AU53"/>
  <c r="AS53"/>
  <c r="AL53"/>
  <c r="AM53" s="1"/>
  <c r="AO53" s="1"/>
  <c r="AK53"/>
  <c r="N53"/>
  <c r="M53"/>
  <c r="AV52"/>
  <c r="AU52"/>
  <c r="AS52"/>
  <c r="AK52"/>
  <c r="AO52" s="1"/>
  <c r="M52"/>
  <c r="N52" s="1"/>
  <c r="AV50"/>
  <c r="AV49"/>
  <c r="AV48"/>
  <c r="AT47"/>
  <c r="AU47" s="1"/>
  <c r="AS47"/>
  <c r="AK47"/>
  <c r="M47"/>
  <c r="N47" s="1"/>
  <c r="AV46"/>
  <c r="AU46"/>
  <c r="AS46"/>
  <c r="AO46"/>
  <c r="AM46"/>
  <c r="AL46"/>
  <c r="AK46"/>
  <c r="N46"/>
  <c r="M46"/>
  <c r="AV45"/>
  <c r="AV44"/>
  <c r="AV43"/>
  <c r="AV42"/>
  <c r="AV41"/>
  <c r="AV40"/>
  <c r="AV39"/>
  <c r="AV38"/>
  <c r="AV37"/>
  <c r="AV36"/>
  <c r="AV35"/>
  <c r="AU35"/>
  <c r="AS35"/>
  <c r="AK35"/>
  <c r="AO35" s="1"/>
  <c r="M35"/>
  <c r="N35" s="1"/>
  <c r="AV34"/>
  <c r="AV33"/>
  <c r="AV32"/>
  <c r="AV31"/>
  <c r="AV30"/>
  <c r="AU30"/>
  <c r="AS30"/>
  <c r="AO30"/>
  <c r="AK30"/>
  <c r="N30"/>
  <c r="M30"/>
  <c r="AV28"/>
  <c r="AU28"/>
  <c r="AS28"/>
  <c r="AK28"/>
  <c r="AO28" s="1"/>
  <c r="M28"/>
  <c r="N28" s="1"/>
  <c r="AV27"/>
  <c r="AU27"/>
  <c r="AS27"/>
  <c r="AO27"/>
  <c r="AK27"/>
  <c r="N27"/>
  <c r="M27"/>
  <c r="AT26"/>
  <c r="AU26" s="1"/>
  <c r="AS26"/>
  <c r="AO26"/>
  <c r="AM26"/>
  <c r="AM94" s="1"/>
  <c r="AL26"/>
  <c r="AK26"/>
  <c r="M26"/>
  <c r="N26" s="1"/>
  <c r="AV25"/>
  <c r="AU25"/>
  <c r="AS25"/>
  <c r="AK25"/>
  <c r="AO25" s="1"/>
  <c r="M25"/>
  <c r="N25" s="1"/>
  <c r="AV24"/>
  <c r="AU24"/>
  <c r="AS24"/>
  <c r="AK24"/>
  <c r="AO24" s="1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N21"/>
  <c r="M21"/>
  <c r="AV20"/>
  <c r="AU20"/>
  <c r="AS20"/>
  <c r="AE20"/>
  <c r="AK20" s="1"/>
  <c r="AO20" s="1"/>
  <c r="N20"/>
  <c r="M20"/>
  <c r="AV19"/>
  <c r="AU19"/>
  <c r="AS19"/>
  <c r="AK19"/>
  <c r="AO19" s="1"/>
  <c r="M19"/>
  <c r="N19" s="1"/>
  <c r="AV18"/>
  <c r="AU18"/>
  <c r="AS18"/>
  <c r="AO18"/>
  <c r="AK18"/>
  <c r="N18"/>
  <c r="M18"/>
  <c r="AV17"/>
  <c r="AU17"/>
  <c r="AS17"/>
  <c r="AL17"/>
  <c r="AL94" s="1"/>
  <c r="AK17"/>
  <c r="M17"/>
  <c r="N17" s="1"/>
  <c r="N94" s="1"/>
  <c r="AV85" i="73"/>
  <c r="AV50"/>
  <c r="AQ94"/>
  <c r="AP94"/>
  <c r="AN94"/>
  <c r="AJ94"/>
  <c r="AI94"/>
  <c r="AH94"/>
  <c r="AG94"/>
  <c r="AF94"/>
  <c r="AD94"/>
  <c r="AC94"/>
  <c r="AB94"/>
  <c r="T94"/>
  <c r="R94"/>
  <c r="P94"/>
  <c r="K94"/>
  <c r="AV93"/>
  <c r="AU93"/>
  <c r="AS93"/>
  <c r="AK93"/>
  <c r="AO93" s="1"/>
  <c r="M93"/>
  <c r="N93" s="1"/>
  <c r="AV92"/>
  <c r="AU92"/>
  <c r="AS92"/>
  <c r="AK92"/>
  <c r="AO92" s="1"/>
  <c r="M92"/>
  <c r="N92" s="1"/>
  <c r="AV91"/>
  <c r="AV90"/>
  <c r="AV89"/>
  <c r="AV88"/>
  <c r="AV87"/>
  <c r="AV86"/>
  <c r="AV84"/>
  <c r="AV83"/>
  <c r="AV82"/>
  <c r="AV81"/>
  <c r="AV80"/>
  <c r="AV79"/>
  <c r="AV78"/>
  <c r="AU78"/>
  <c r="AS78"/>
  <c r="AK78"/>
  <c r="AO78" s="1"/>
  <c r="M78"/>
  <c r="N78" s="1"/>
  <c r="AV77"/>
  <c r="AV76"/>
  <c r="AV75"/>
  <c r="AV74"/>
  <c r="AT73"/>
  <c r="AU73" s="1"/>
  <c r="AS73"/>
  <c r="AK73"/>
  <c r="AO73" s="1"/>
  <c r="M73"/>
  <c r="N73" s="1"/>
  <c r="AV72"/>
  <c r="AR72"/>
  <c r="AU72" s="1"/>
  <c r="AK72"/>
  <c r="AO72" s="1"/>
  <c r="M72"/>
  <c r="N72" s="1"/>
  <c r="AV71"/>
  <c r="AR71"/>
  <c r="AU71" s="1"/>
  <c r="AK71"/>
  <c r="AO71" s="1"/>
  <c r="M71"/>
  <c r="N71" s="1"/>
  <c r="AV70"/>
  <c r="AU70"/>
  <c r="AS70"/>
  <c r="AL70"/>
  <c r="AK70"/>
  <c r="AO70" s="1"/>
  <c r="M70"/>
  <c r="N70" s="1"/>
  <c r="AV69"/>
  <c r="AV68"/>
  <c r="AU68"/>
  <c r="AS68"/>
  <c r="AK68"/>
  <c r="N68"/>
  <c r="M68"/>
  <c r="AV67"/>
  <c r="AU67"/>
  <c r="AS67"/>
  <c r="AK67"/>
  <c r="AO67" s="1"/>
  <c r="M67"/>
  <c r="N67" s="1"/>
  <c r="AV66"/>
  <c r="AU66"/>
  <c r="AS66"/>
  <c r="AO66"/>
  <c r="AK66"/>
  <c r="N66"/>
  <c r="M66"/>
  <c r="AT65"/>
  <c r="AV65" s="1"/>
  <c r="AS65"/>
  <c r="AO65"/>
  <c r="AK65"/>
  <c r="N65"/>
  <c r="M65"/>
  <c r="AT64"/>
  <c r="AV64" s="1"/>
  <c r="AS64"/>
  <c r="AK64"/>
  <c r="AO64" s="1"/>
  <c r="N64"/>
  <c r="M64"/>
  <c r="AT63"/>
  <c r="AV63" s="1"/>
  <c r="AS63"/>
  <c r="AO63"/>
  <c r="AK63"/>
  <c r="N63"/>
  <c r="M63"/>
  <c r="AV62"/>
  <c r="AU62"/>
  <c r="AS62"/>
  <c r="AK62"/>
  <c r="AO62" s="1"/>
  <c r="M62"/>
  <c r="N62" s="1"/>
  <c r="AV61"/>
  <c r="AU61"/>
  <c r="AS61"/>
  <c r="AO61"/>
  <c r="AK61"/>
  <c r="N61"/>
  <c r="M61"/>
  <c r="AT60"/>
  <c r="AV60" s="1"/>
  <c r="AS60"/>
  <c r="AO60"/>
  <c r="AK60"/>
  <c r="N60"/>
  <c r="M60"/>
  <c r="AT59"/>
  <c r="AV59" s="1"/>
  <c r="AS59"/>
  <c r="AO59"/>
  <c r="AK59"/>
  <c r="N59"/>
  <c r="M59"/>
  <c r="AV58"/>
  <c r="AU58"/>
  <c r="AS58"/>
  <c r="AK58"/>
  <c r="AO58" s="1"/>
  <c r="M58"/>
  <c r="N58" s="1"/>
  <c r="AV57"/>
  <c r="AU57"/>
  <c r="AS57"/>
  <c r="AO57"/>
  <c r="AK57"/>
  <c r="N57"/>
  <c r="M57"/>
  <c r="AU56"/>
  <c r="AS56"/>
  <c r="AO56"/>
  <c r="AK56"/>
  <c r="N56"/>
  <c r="M56"/>
  <c r="AV55"/>
  <c r="AU55"/>
  <c r="AS55"/>
  <c r="AK55"/>
  <c r="AO55" s="1"/>
  <c r="M55"/>
  <c r="N55" s="1"/>
  <c r="AT54"/>
  <c r="AU54" s="1"/>
  <c r="AS54"/>
  <c r="AK54"/>
  <c r="AO54" s="1"/>
  <c r="M54"/>
  <c r="N54" s="1"/>
  <c r="AV53"/>
  <c r="AU53"/>
  <c r="AS53"/>
  <c r="AL53"/>
  <c r="AM53" s="1"/>
  <c r="AK53"/>
  <c r="M53"/>
  <c r="N53" s="1"/>
  <c r="AV52"/>
  <c r="AU52"/>
  <c r="AS52"/>
  <c r="AK52"/>
  <c r="AO52" s="1"/>
  <c r="M52"/>
  <c r="N52" s="1"/>
  <c r="AV49"/>
  <c r="AV48"/>
  <c r="AT47"/>
  <c r="AU47" s="1"/>
  <c r="AS47"/>
  <c r="AK47"/>
  <c r="N47"/>
  <c r="M47"/>
  <c r="AV46"/>
  <c r="AU46"/>
  <c r="AS46"/>
  <c r="AM46"/>
  <c r="AL46"/>
  <c r="AK46"/>
  <c r="AO46" s="1"/>
  <c r="M46"/>
  <c r="N46" s="1"/>
  <c r="AV45"/>
  <c r="AV44"/>
  <c r="AV43"/>
  <c r="AV42"/>
  <c r="AV41"/>
  <c r="AV40"/>
  <c r="AV39"/>
  <c r="AV38"/>
  <c r="AV37"/>
  <c r="AV36"/>
  <c r="AV35"/>
  <c r="AU35"/>
  <c r="AS35"/>
  <c r="AK35"/>
  <c r="AO35" s="1"/>
  <c r="M35"/>
  <c r="N35" s="1"/>
  <c r="AV34"/>
  <c r="AV33"/>
  <c r="AV32"/>
  <c r="AV31"/>
  <c r="AV30"/>
  <c r="AU30"/>
  <c r="AS30"/>
  <c r="AK30"/>
  <c r="AO30" s="1"/>
  <c r="M30"/>
  <c r="N30" s="1"/>
  <c r="AV28"/>
  <c r="AU28"/>
  <c r="AS28"/>
  <c r="AK28"/>
  <c r="AO28" s="1"/>
  <c r="M28"/>
  <c r="N28" s="1"/>
  <c r="AV27"/>
  <c r="AU27"/>
  <c r="AS27"/>
  <c r="AK27"/>
  <c r="AO27" s="1"/>
  <c r="M27"/>
  <c r="N27" s="1"/>
  <c r="AT26"/>
  <c r="AU26" s="1"/>
  <c r="AS26"/>
  <c r="AO26"/>
  <c r="AM26"/>
  <c r="AL26"/>
  <c r="AK26"/>
  <c r="M26"/>
  <c r="N26" s="1"/>
  <c r="AV25"/>
  <c r="AU25"/>
  <c r="AS25"/>
  <c r="AK25"/>
  <c r="AO25" s="1"/>
  <c r="N25"/>
  <c r="M25"/>
  <c r="AV24"/>
  <c r="AU24"/>
  <c r="AS24"/>
  <c r="AK24"/>
  <c r="AO24" s="1"/>
  <c r="M24"/>
  <c r="N24" s="1"/>
  <c r="AV23"/>
  <c r="AU23"/>
  <c r="AS23"/>
  <c r="AO23"/>
  <c r="AK23"/>
  <c r="N23"/>
  <c r="M23"/>
  <c r="AV22"/>
  <c r="AU22"/>
  <c r="AS22"/>
  <c r="AK22"/>
  <c r="AO22" s="1"/>
  <c r="M22"/>
  <c r="N22" s="1"/>
  <c r="AV21"/>
  <c r="AU21"/>
  <c r="AS21"/>
  <c r="AO21"/>
  <c r="AK21"/>
  <c r="N21"/>
  <c r="M21"/>
  <c r="AV20"/>
  <c r="AU20"/>
  <c r="AS20"/>
  <c r="AK20"/>
  <c r="AO20" s="1"/>
  <c r="AE20"/>
  <c r="AE94" s="1"/>
  <c r="N20"/>
  <c r="M20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L94" s="1"/>
  <c r="AK17"/>
  <c r="AK94" s="1"/>
  <c r="M17"/>
  <c r="N17" s="1"/>
  <c r="AQ92" i="72"/>
  <c r="AP92"/>
  <c r="AN92"/>
  <c r="AJ92"/>
  <c r="AI92"/>
  <c r="AH92"/>
  <c r="AG92"/>
  <c r="AF92"/>
  <c r="AD92"/>
  <c r="AC92"/>
  <c r="AB92"/>
  <c r="T92"/>
  <c r="R92"/>
  <c r="P92"/>
  <c r="K92"/>
  <c r="AV91"/>
  <c r="AU91"/>
  <c r="AS91"/>
  <c r="AO91"/>
  <c r="AK91"/>
  <c r="N91"/>
  <c r="M91"/>
  <c r="AV90"/>
  <c r="AU90"/>
  <c r="AS90"/>
  <c r="AK90"/>
  <c r="AO90" s="1"/>
  <c r="M90"/>
  <c r="N90" s="1"/>
  <c r="AV89"/>
  <c r="AV88"/>
  <c r="AV87"/>
  <c r="AV86"/>
  <c r="AV85"/>
  <c r="AV84"/>
  <c r="AV83"/>
  <c r="AV82"/>
  <c r="AV81"/>
  <c r="AV80"/>
  <c r="AV79"/>
  <c r="AV78"/>
  <c r="AV77"/>
  <c r="AU77"/>
  <c r="AS77"/>
  <c r="AK77"/>
  <c r="AO77" s="1"/>
  <c r="N77"/>
  <c r="M77"/>
  <c r="AV76"/>
  <c r="AV75"/>
  <c r="AV74"/>
  <c r="AV73"/>
  <c r="AT72"/>
  <c r="AU72" s="1"/>
  <c r="AS72"/>
  <c r="AO72"/>
  <c r="AK72"/>
  <c r="M72"/>
  <c r="N72" s="1"/>
  <c r="AV71"/>
  <c r="AR71"/>
  <c r="AU71" s="1"/>
  <c r="AK71"/>
  <c r="AO71" s="1"/>
  <c r="M71"/>
  <c r="N71" s="1"/>
  <c r="AV70"/>
  <c r="AS70"/>
  <c r="AR70"/>
  <c r="AU70" s="1"/>
  <c r="AO70"/>
  <c r="AK70"/>
  <c r="N70"/>
  <c r="M70"/>
  <c r="AV69"/>
  <c r="AU69"/>
  <c r="AS69"/>
  <c r="AL69"/>
  <c r="AK69"/>
  <c r="AO69" s="1"/>
  <c r="N69"/>
  <c r="M69"/>
  <c r="AV68"/>
  <c r="AV67"/>
  <c r="AU67"/>
  <c r="AS67"/>
  <c r="AK67"/>
  <c r="M67"/>
  <c r="N67" s="1"/>
  <c r="AV66"/>
  <c r="AU66"/>
  <c r="AS66"/>
  <c r="AO66"/>
  <c r="AK66"/>
  <c r="N66"/>
  <c r="M66"/>
  <c r="AV65"/>
  <c r="AU65"/>
  <c r="AS65"/>
  <c r="AK65"/>
  <c r="AO65" s="1"/>
  <c r="M65"/>
  <c r="N65" s="1"/>
  <c r="AT64"/>
  <c r="AV64" s="1"/>
  <c r="AS64"/>
  <c r="AK64"/>
  <c r="AO64" s="1"/>
  <c r="M64"/>
  <c r="N64" s="1"/>
  <c r="AT63"/>
  <c r="AV63" s="1"/>
  <c r="AS63"/>
  <c r="AK63"/>
  <c r="AO63" s="1"/>
  <c r="M63"/>
  <c r="N63" s="1"/>
  <c r="AT62"/>
  <c r="AV62" s="1"/>
  <c r="AS62"/>
  <c r="AK62"/>
  <c r="AO62" s="1"/>
  <c r="N62"/>
  <c r="M62"/>
  <c r="AV61"/>
  <c r="AU61"/>
  <c r="AS61"/>
  <c r="AK61"/>
  <c r="AO61" s="1"/>
  <c r="M61"/>
  <c r="N61" s="1"/>
  <c r="AV60"/>
  <c r="AU60"/>
  <c r="AS60"/>
  <c r="AO60"/>
  <c r="AK60"/>
  <c r="N60"/>
  <c r="M60"/>
  <c r="AT59"/>
  <c r="AV59" s="1"/>
  <c r="AS59"/>
  <c r="AO59"/>
  <c r="AK59"/>
  <c r="N59"/>
  <c r="M59"/>
  <c r="AT58"/>
  <c r="AV58" s="1"/>
  <c r="AS58"/>
  <c r="AK58"/>
  <c r="AO58" s="1"/>
  <c r="N58"/>
  <c r="M58"/>
  <c r="AV57"/>
  <c r="AU57"/>
  <c r="AS57"/>
  <c r="AK57"/>
  <c r="AO57" s="1"/>
  <c r="M57"/>
  <c r="N57" s="1"/>
  <c r="AV56"/>
  <c r="AU56"/>
  <c r="AS56"/>
  <c r="AK56"/>
  <c r="AO56" s="1"/>
  <c r="M56"/>
  <c r="N56" s="1"/>
  <c r="AU55"/>
  <c r="AS55"/>
  <c r="AK55"/>
  <c r="AO55" s="1"/>
  <c r="N55"/>
  <c r="M55"/>
  <c r="AV54"/>
  <c r="AU54"/>
  <c r="AS54"/>
  <c r="AK54"/>
  <c r="AO54" s="1"/>
  <c r="M54"/>
  <c r="N54" s="1"/>
  <c r="AT53"/>
  <c r="AU53" s="1"/>
  <c r="AS53"/>
  <c r="AK53"/>
  <c r="AO53" s="1"/>
  <c r="M53"/>
  <c r="N53" s="1"/>
  <c r="AV52"/>
  <c r="AU52"/>
  <c r="AS52"/>
  <c r="AL52"/>
  <c r="AM52" s="1"/>
  <c r="AK52"/>
  <c r="M52"/>
  <c r="N52" s="1"/>
  <c r="AV51"/>
  <c r="AU51"/>
  <c r="AS51"/>
  <c r="AK51"/>
  <c r="AO51" s="1"/>
  <c r="N51"/>
  <c r="M51"/>
  <c r="AV49"/>
  <c r="AV48"/>
  <c r="AT47"/>
  <c r="AU47" s="1"/>
  <c r="AS47"/>
  <c r="AK47"/>
  <c r="M47"/>
  <c r="N47" s="1"/>
  <c r="AV46"/>
  <c r="AU46"/>
  <c r="AS46"/>
  <c r="AM46"/>
  <c r="AL46"/>
  <c r="AK46"/>
  <c r="AO46" s="1"/>
  <c r="M46"/>
  <c r="N46" s="1"/>
  <c r="AV45"/>
  <c r="AV44"/>
  <c r="AV43"/>
  <c r="AV42"/>
  <c r="AV41"/>
  <c r="AV40"/>
  <c r="AV39"/>
  <c r="AV38"/>
  <c r="AV37"/>
  <c r="AV36"/>
  <c r="AV35"/>
  <c r="AU35"/>
  <c r="AS35"/>
  <c r="AK35"/>
  <c r="AO35" s="1"/>
  <c r="N35"/>
  <c r="M35"/>
  <c r="AV34"/>
  <c r="AV33"/>
  <c r="AV32"/>
  <c r="AV31"/>
  <c r="AV30"/>
  <c r="AU30"/>
  <c r="AS30"/>
  <c r="AK30"/>
  <c r="AO30" s="1"/>
  <c r="M30"/>
  <c r="N30" s="1"/>
  <c r="AV28"/>
  <c r="AU28"/>
  <c r="AS28"/>
  <c r="AK28"/>
  <c r="AO28" s="1"/>
  <c r="M28"/>
  <c r="N28" s="1"/>
  <c r="AV27"/>
  <c r="AU27"/>
  <c r="AS27"/>
  <c r="AK27"/>
  <c r="AO27" s="1"/>
  <c r="M27"/>
  <c r="N27" s="1"/>
  <c r="AT26"/>
  <c r="AU26" s="1"/>
  <c r="AS26"/>
  <c r="AO26"/>
  <c r="AM26"/>
  <c r="AM92" s="1"/>
  <c r="AL26"/>
  <c r="AK26"/>
  <c r="M26"/>
  <c r="N26" s="1"/>
  <c r="AV25"/>
  <c r="AU25"/>
  <c r="AS25"/>
  <c r="AK25"/>
  <c r="AO25" s="1"/>
  <c r="M25"/>
  <c r="N25" s="1"/>
  <c r="AV24"/>
  <c r="AU24"/>
  <c r="AS24"/>
  <c r="AK24"/>
  <c r="AO24" s="1"/>
  <c r="M24"/>
  <c r="N24" s="1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L92" s="1"/>
  <c r="AK17"/>
  <c r="AK92" s="1"/>
  <c r="N17"/>
  <c r="M17"/>
  <c r="AV44" i="71"/>
  <c r="AV45"/>
  <c r="AV39"/>
  <c r="AV34"/>
  <c r="AV89"/>
  <c r="AV83"/>
  <c r="AV49"/>
  <c r="AV38"/>
  <c r="AV33"/>
  <c r="AV88"/>
  <c r="AQ92"/>
  <c r="AP92"/>
  <c r="AN92"/>
  <c r="AJ92"/>
  <c r="AI92"/>
  <c r="AH92"/>
  <c r="AG92"/>
  <c r="AF92"/>
  <c r="AD92"/>
  <c r="AC92"/>
  <c r="AB92"/>
  <c r="T92"/>
  <c r="R92"/>
  <c r="P92"/>
  <c r="K92"/>
  <c r="AV28"/>
  <c r="AU28"/>
  <c r="AS28"/>
  <c r="AK28"/>
  <c r="AO28" s="1"/>
  <c r="M28"/>
  <c r="N28" s="1"/>
  <c r="AV27"/>
  <c r="AU27"/>
  <c r="AS27"/>
  <c r="AK27"/>
  <c r="AO27" s="1"/>
  <c r="M27"/>
  <c r="N27" s="1"/>
  <c r="AV91"/>
  <c r="AU91"/>
  <c r="AS91"/>
  <c r="AK91"/>
  <c r="AO91" s="1"/>
  <c r="M91"/>
  <c r="N91" s="1"/>
  <c r="AU90"/>
  <c r="AS90"/>
  <c r="AK90"/>
  <c r="AO90" s="1"/>
  <c r="M90"/>
  <c r="N90" s="1"/>
  <c r="AV25"/>
  <c r="AU25"/>
  <c r="AS25"/>
  <c r="AK25"/>
  <c r="AO25" s="1"/>
  <c r="M25"/>
  <c r="N25" s="1"/>
  <c r="AV24"/>
  <c r="AU24"/>
  <c r="AS24"/>
  <c r="AK24"/>
  <c r="AO24" s="1"/>
  <c r="M24"/>
  <c r="N24" s="1"/>
  <c r="AV87"/>
  <c r="AV86"/>
  <c r="AV85"/>
  <c r="AV84"/>
  <c r="AV82"/>
  <c r="AV81"/>
  <c r="AV80"/>
  <c r="AV79"/>
  <c r="AV78"/>
  <c r="AV77"/>
  <c r="AS77"/>
  <c r="AK77"/>
  <c r="AO77" s="1"/>
  <c r="M77"/>
  <c r="N77" s="1"/>
  <c r="AV76"/>
  <c r="AV75"/>
  <c r="AV74"/>
  <c r="AV73"/>
  <c r="AT72"/>
  <c r="AV72" s="1"/>
  <c r="AS72"/>
  <c r="AK72"/>
  <c r="AO72" s="1"/>
  <c r="M72"/>
  <c r="N72" s="1"/>
  <c r="AV71"/>
  <c r="AR71"/>
  <c r="AS71" s="1"/>
  <c r="AK71"/>
  <c r="AO71" s="1"/>
  <c r="M71"/>
  <c r="N71" s="1"/>
  <c r="AV70"/>
  <c r="AR70"/>
  <c r="AS70" s="1"/>
  <c r="AK70"/>
  <c r="AO70" s="1"/>
  <c r="M70"/>
  <c r="N70" s="1"/>
  <c r="AV69"/>
  <c r="AU69"/>
  <c r="AS69"/>
  <c r="AL69"/>
  <c r="AK69"/>
  <c r="AO69" s="1"/>
  <c r="M69"/>
  <c r="N69" s="1"/>
  <c r="AV68"/>
  <c r="AV67"/>
  <c r="AU67"/>
  <c r="AS67"/>
  <c r="AK67"/>
  <c r="M67"/>
  <c r="N67" s="1"/>
  <c r="AV66"/>
  <c r="AU66"/>
  <c r="AS66"/>
  <c r="AK66"/>
  <c r="AO66" s="1"/>
  <c r="M66"/>
  <c r="N66" s="1"/>
  <c r="AV65"/>
  <c r="AU65"/>
  <c r="AS65"/>
  <c r="AK65"/>
  <c r="AO65" s="1"/>
  <c r="M65"/>
  <c r="N65" s="1"/>
  <c r="AT64"/>
  <c r="AU64" s="1"/>
  <c r="AS64"/>
  <c r="AK64"/>
  <c r="AO64" s="1"/>
  <c r="M64"/>
  <c r="N64" s="1"/>
  <c r="AT63"/>
  <c r="AU63" s="1"/>
  <c r="AS63"/>
  <c r="AK63"/>
  <c r="AO63" s="1"/>
  <c r="M63"/>
  <c r="N63" s="1"/>
  <c r="AT62"/>
  <c r="AU62" s="1"/>
  <c r="AS62"/>
  <c r="AK62"/>
  <c r="AO62" s="1"/>
  <c r="M62"/>
  <c r="N62" s="1"/>
  <c r="AV61"/>
  <c r="AU61"/>
  <c r="AS61"/>
  <c r="AK61"/>
  <c r="AO61" s="1"/>
  <c r="M61"/>
  <c r="N61" s="1"/>
  <c r="AV60"/>
  <c r="AU60"/>
  <c r="AS60"/>
  <c r="AK60"/>
  <c r="AO60" s="1"/>
  <c r="M60"/>
  <c r="N60" s="1"/>
  <c r="AT59"/>
  <c r="AU59" s="1"/>
  <c r="AS59"/>
  <c r="AK59"/>
  <c r="AO59" s="1"/>
  <c r="M59"/>
  <c r="N59" s="1"/>
  <c r="AT58"/>
  <c r="AU58" s="1"/>
  <c r="AS58"/>
  <c r="AK58"/>
  <c r="AO58" s="1"/>
  <c r="M58"/>
  <c r="N58" s="1"/>
  <c r="AV57"/>
  <c r="AU57"/>
  <c r="AS57"/>
  <c r="AK57"/>
  <c r="AO57" s="1"/>
  <c r="M57"/>
  <c r="N57" s="1"/>
  <c r="AV56"/>
  <c r="AU56"/>
  <c r="AS56"/>
  <c r="AK56"/>
  <c r="AO56" s="1"/>
  <c r="M56"/>
  <c r="N56" s="1"/>
  <c r="AU55"/>
  <c r="AS55"/>
  <c r="AK55"/>
  <c r="AO55" s="1"/>
  <c r="M55"/>
  <c r="N55" s="1"/>
  <c r="AU54"/>
  <c r="AS54"/>
  <c r="AK54"/>
  <c r="AO54" s="1"/>
  <c r="M54"/>
  <c r="N54" s="1"/>
  <c r="AT53"/>
  <c r="AU53" s="1"/>
  <c r="AS53"/>
  <c r="AK53"/>
  <c r="AO53" s="1"/>
  <c r="M53"/>
  <c r="N53" s="1"/>
  <c r="AV52"/>
  <c r="AU52"/>
  <c r="AS52"/>
  <c r="AL52"/>
  <c r="AM52" s="1"/>
  <c r="AK52"/>
  <c r="M52"/>
  <c r="N52" s="1"/>
  <c r="AV51"/>
  <c r="AU51"/>
  <c r="AS51"/>
  <c r="AK51"/>
  <c r="AO51" s="1"/>
  <c r="M51"/>
  <c r="N51" s="1"/>
  <c r="AV48"/>
  <c r="AT47"/>
  <c r="AV47" s="1"/>
  <c r="AS47"/>
  <c r="AK47"/>
  <c r="M47"/>
  <c r="N47" s="1"/>
  <c r="AV46"/>
  <c r="AU46"/>
  <c r="AS46"/>
  <c r="AM46"/>
  <c r="AL46"/>
  <c r="AK46"/>
  <c r="M46"/>
  <c r="N46" s="1"/>
  <c r="AV43"/>
  <c r="AV42"/>
  <c r="AV41"/>
  <c r="AV40"/>
  <c r="AV37"/>
  <c r="AV36"/>
  <c r="AV35"/>
  <c r="AU35"/>
  <c r="AS35"/>
  <c r="AK35"/>
  <c r="AO35" s="1"/>
  <c r="M35"/>
  <c r="N35" s="1"/>
  <c r="AV32"/>
  <c r="AV31"/>
  <c r="AV30"/>
  <c r="AU30"/>
  <c r="AS30"/>
  <c r="AK30"/>
  <c r="AO30" s="1"/>
  <c r="M30"/>
  <c r="N30" s="1"/>
  <c r="AT26"/>
  <c r="AV26" s="1"/>
  <c r="AS26"/>
  <c r="AO26"/>
  <c r="AM26"/>
  <c r="AL26"/>
  <c r="AK26"/>
  <c r="M26"/>
  <c r="N26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M21"/>
  <c r="N21" s="1"/>
  <c r="AV20"/>
  <c r="AU20"/>
  <c r="AS20"/>
  <c r="AE20"/>
  <c r="AE92" s="1"/>
  <c r="M20"/>
  <c r="N20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K17"/>
  <c r="M17"/>
  <c r="N17" s="1"/>
  <c r="AV34" i="70"/>
  <c r="AV30"/>
  <c r="AV27"/>
  <c r="AQ90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K88"/>
  <c r="AO88" s="1"/>
  <c r="M88"/>
  <c r="N88" s="1"/>
  <c r="AV87"/>
  <c r="AU87"/>
  <c r="AS87"/>
  <c r="AK87"/>
  <c r="AO87" s="1"/>
  <c r="M87"/>
  <c r="N87" s="1"/>
  <c r="AV86"/>
  <c r="AU86"/>
  <c r="AS86"/>
  <c r="AK86"/>
  <c r="AO86" s="1"/>
  <c r="M86"/>
  <c r="N86" s="1"/>
  <c r="AT85"/>
  <c r="AU85" s="1"/>
  <c r="AS85"/>
  <c r="AK85"/>
  <c r="AO85" s="1"/>
  <c r="M85"/>
  <c r="N85" s="1"/>
  <c r="AV84"/>
  <c r="AU84"/>
  <c r="AS84"/>
  <c r="AK84"/>
  <c r="AO84" s="1"/>
  <c r="M84"/>
  <c r="N84" s="1"/>
  <c r="AV83"/>
  <c r="AU83"/>
  <c r="AS83"/>
  <c r="AK83"/>
  <c r="AO83" s="1"/>
  <c r="N83"/>
  <c r="M83"/>
  <c r="AV82"/>
  <c r="AV81"/>
  <c r="AV80"/>
  <c r="AV79"/>
  <c r="AV78"/>
  <c r="AV77"/>
  <c r="AV76"/>
  <c r="AV75"/>
  <c r="AV74"/>
  <c r="AT73"/>
  <c r="AV73" s="1"/>
  <c r="AS73"/>
  <c r="AK73"/>
  <c r="AO73" s="1"/>
  <c r="M73"/>
  <c r="N73" s="1"/>
  <c r="AV72"/>
  <c r="AV71"/>
  <c r="AV70"/>
  <c r="AV69"/>
  <c r="AT68"/>
  <c r="AV68" s="1"/>
  <c r="AS68"/>
  <c r="AK68"/>
  <c r="AO68" s="1"/>
  <c r="M68"/>
  <c r="N68" s="1"/>
  <c r="AV67"/>
  <c r="AV66"/>
  <c r="AU66"/>
  <c r="AS66"/>
  <c r="AK66"/>
  <c r="AO66" s="1"/>
  <c r="M66"/>
  <c r="N66" s="1"/>
  <c r="AT65"/>
  <c r="AV65" s="1"/>
  <c r="AS65"/>
  <c r="AK65"/>
  <c r="AO65" s="1"/>
  <c r="M65"/>
  <c r="N65" s="1"/>
  <c r="AT64"/>
  <c r="AV64" s="1"/>
  <c r="AS64"/>
  <c r="AK64"/>
  <c r="AO64" s="1"/>
  <c r="M64"/>
  <c r="N64" s="1"/>
  <c r="AT63"/>
  <c r="AV63" s="1"/>
  <c r="AS63"/>
  <c r="AK63"/>
  <c r="AO63" s="1"/>
  <c r="M63"/>
  <c r="N63" s="1"/>
  <c r="AV62"/>
  <c r="AU62"/>
  <c r="AS62"/>
  <c r="AK62"/>
  <c r="AO62" s="1"/>
  <c r="M62"/>
  <c r="N62" s="1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M56"/>
  <c r="N56" s="1"/>
  <c r="AV55"/>
  <c r="AU55"/>
  <c r="AS55"/>
  <c r="AK55"/>
  <c r="AO55" s="1"/>
  <c r="M55"/>
  <c r="N55" s="1"/>
  <c r="AV54"/>
  <c r="AU54"/>
  <c r="AS54"/>
  <c r="AK54"/>
  <c r="AO54" s="1"/>
  <c r="M54"/>
  <c r="N54" s="1"/>
  <c r="AT53"/>
  <c r="AU53" s="1"/>
  <c r="AS53"/>
  <c r="AK53"/>
  <c r="AO53" s="1"/>
  <c r="M53"/>
  <c r="N53" s="1"/>
  <c r="AT52"/>
  <c r="AU52" s="1"/>
  <c r="AS52"/>
  <c r="AK52"/>
  <c r="AO52" s="1"/>
  <c r="M52"/>
  <c r="N52" s="1"/>
  <c r="AT51"/>
  <c r="AU51" s="1"/>
  <c r="AS51"/>
  <c r="AK51"/>
  <c r="AO51" s="1"/>
  <c r="M51"/>
  <c r="N51" s="1"/>
  <c r="AV50"/>
  <c r="AU50"/>
  <c r="AS50"/>
  <c r="AK50"/>
  <c r="AO50" s="1"/>
  <c r="M50"/>
  <c r="N50" s="1"/>
  <c r="AV49"/>
  <c r="AU49"/>
  <c r="AS49"/>
  <c r="AK49"/>
  <c r="AO49" s="1"/>
  <c r="M49"/>
  <c r="N49" s="1"/>
  <c r="AT48"/>
  <c r="AU48" s="1"/>
  <c r="AS48"/>
  <c r="AK48"/>
  <c r="AO48" s="1"/>
  <c r="M48"/>
  <c r="N48" s="1"/>
  <c r="AT47"/>
  <c r="AU47" s="1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U44"/>
  <c r="AS44"/>
  <c r="AK44"/>
  <c r="AO44" s="1"/>
  <c r="M44"/>
  <c r="N44" s="1"/>
  <c r="AT43"/>
  <c r="AU43" s="1"/>
  <c r="AS43"/>
  <c r="AK43"/>
  <c r="AO43" s="1"/>
  <c r="M43"/>
  <c r="N43" s="1"/>
  <c r="AT42"/>
  <c r="AU42" s="1"/>
  <c r="AS42"/>
  <c r="AK42"/>
  <c r="AO42" s="1"/>
  <c r="M42"/>
  <c r="N42" s="1"/>
  <c r="AT41"/>
  <c r="AU41" s="1"/>
  <c r="AS41"/>
  <c r="AO41"/>
  <c r="AK41"/>
  <c r="N41"/>
  <c r="M41"/>
  <c r="AV40"/>
  <c r="AU40"/>
  <c r="AS40"/>
  <c r="AL40"/>
  <c r="AM40" s="1"/>
  <c r="AK40"/>
  <c r="M40"/>
  <c r="N40" s="1"/>
  <c r="AV39"/>
  <c r="AU39"/>
  <c r="AS39"/>
  <c r="AK39"/>
  <c r="AO39" s="1"/>
  <c r="M39"/>
  <c r="N39" s="1"/>
  <c r="AV37"/>
  <c r="AT36"/>
  <c r="AV36" s="1"/>
  <c r="AS36"/>
  <c r="AK36"/>
  <c r="M36"/>
  <c r="N36" s="1"/>
  <c r="AV35"/>
  <c r="AU35"/>
  <c r="AS35"/>
  <c r="AM35"/>
  <c r="AL35"/>
  <c r="AK35"/>
  <c r="AO35" s="1"/>
  <c r="M35"/>
  <c r="N35" s="1"/>
  <c r="AV33"/>
  <c r="AV32"/>
  <c r="AV31"/>
  <c r="AV29"/>
  <c r="AV28"/>
  <c r="AU28"/>
  <c r="AS28"/>
  <c r="AK28"/>
  <c r="AO28" s="1"/>
  <c r="M28"/>
  <c r="N28" s="1"/>
  <c r="AV26"/>
  <c r="AV25"/>
  <c r="AU25"/>
  <c r="AS25"/>
  <c r="AK25"/>
  <c r="AO25" s="1"/>
  <c r="M25"/>
  <c r="N25" s="1"/>
  <c r="AT24"/>
  <c r="AV24" s="1"/>
  <c r="AS24"/>
  <c r="AO24"/>
  <c r="AM24"/>
  <c r="AL24"/>
  <c r="AK24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M21"/>
  <c r="N21" s="1"/>
  <c r="AV20"/>
  <c r="AU20"/>
  <c r="AS20"/>
  <c r="AE20"/>
  <c r="AE90" s="1"/>
  <c r="M20"/>
  <c r="N20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L90" s="1"/>
  <c r="AK17"/>
  <c r="M17"/>
  <c r="N17" s="1"/>
  <c r="AQ90" i="69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K88"/>
  <c r="AO88" s="1"/>
  <c r="M88"/>
  <c r="N88" s="1"/>
  <c r="AV87"/>
  <c r="AU87"/>
  <c r="AS87"/>
  <c r="AO87"/>
  <c r="AK87"/>
  <c r="N87"/>
  <c r="M87"/>
  <c r="AV86"/>
  <c r="AU86"/>
  <c r="AS86"/>
  <c r="AK86"/>
  <c r="AO86" s="1"/>
  <c r="M86"/>
  <c r="N86" s="1"/>
  <c r="AU85"/>
  <c r="AT85"/>
  <c r="AV85" s="1"/>
  <c r="AS85"/>
  <c r="AK85"/>
  <c r="AO85" s="1"/>
  <c r="M85"/>
  <c r="N85" s="1"/>
  <c r="AV84"/>
  <c r="AU84"/>
  <c r="AS84"/>
  <c r="AK84"/>
  <c r="AO84" s="1"/>
  <c r="M84"/>
  <c r="N84" s="1"/>
  <c r="AV83"/>
  <c r="AU83"/>
  <c r="AS83"/>
  <c r="AO83"/>
  <c r="AK83"/>
  <c r="N83"/>
  <c r="M83"/>
  <c r="AV82"/>
  <c r="AV81"/>
  <c r="AV80"/>
  <c r="AV79"/>
  <c r="AV78"/>
  <c r="AV77"/>
  <c r="AV76"/>
  <c r="AV75"/>
  <c r="AV74"/>
  <c r="AU73"/>
  <c r="AT73"/>
  <c r="AV73" s="1"/>
  <c r="AS73"/>
  <c r="AK73"/>
  <c r="AO73" s="1"/>
  <c r="M73"/>
  <c r="N73" s="1"/>
  <c r="AV72"/>
  <c r="AV71"/>
  <c r="AV70"/>
  <c r="AV69"/>
  <c r="AU68"/>
  <c r="AT68"/>
  <c r="AV68" s="1"/>
  <c r="AS68"/>
  <c r="AK68"/>
  <c r="AO68" s="1"/>
  <c r="M68"/>
  <c r="N68" s="1"/>
  <c r="AV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N56"/>
  <c r="M56"/>
  <c r="AV55"/>
  <c r="AU55"/>
  <c r="AS55"/>
  <c r="AK55"/>
  <c r="AO55" s="1"/>
  <c r="M55"/>
  <c r="N55" s="1"/>
  <c r="AV54"/>
  <c r="AU54"/>
  <c r="AS54"/>
  <c r="AO54"/>
  <c r="AK54"/>
  <c r="N54"/>
  <c r="M54"/>
  <c r="AT53"/>
  <c r="AU53" s="1"/>
  <c r="AS53"/>
  <c r="AO53"/>
  <c r="AK53"/>
  <c r="N53"/>
  <c r="M53"/>
  <c r="AT52"/>
  <c r="AU52" s="1"/>
  <c r="AS52"/>
  <c r="AO52"/>
  <c r="AK52"/>
  <c r="N52"/>
  <c r="M52"/>
  <c r="AT51"/>
  <c r="AU51" s="1"/>
  <c r="AS51"/>
  <c r="AK51"/>
  <c r="AO51" s="1"/>
  <c r="M51"/>
  <c r="N51" s="1"/>
  <c r="AV50"/>
  <c r="AU50"/>
  <c r="AS50"/>
  <c r="AK50"/>
  <c r="AO50" s="1"/>
  <c r="M50"/>
  <c r="N50" s="1"/>
  <c r="AV49"/>
  <c r="AU49"/>
  <c r="AS49"/>
  <c r="AK49"/>
  <c r="AO49" s="1"/>
  <c r="M49"/>
  <c r="N49" s="1"/>
  <c r="AT48"/>
  <c r="AU48" s="1"/>
  <c r="AS48"/>
  <c r="AK48"/>
  <c r="AO48" s="1"/>
  <c r="M48"/>
  <c r="N48" s="1"/>
  <c r="AT47"/>
  <c r="AU47" s="1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U44"/>
  <c r="AS44"/>
  <c r="AK44"/>
  <c r="AO44" s="1"/>
  <c r="M44"/>
  <c r="N44" s="1"/>
  <c r="AT43"/>
  <c r="AU43" s="1"/>
  <c r="AS43"/>
  <c r="AO43"/>
  <c r="AK43"/>
  <c r="N43"/>
  <c r="M43"/>
  <c r="AT42"/>
  <c r="AU42" s="1"/>
  <c r="AS42"/>
  <c r="AO42"/>
  <c r="AK42"/>
  <c r="N42"/>
  <c r="M42"/>
  <c r="AT41"/>
  <c r="AU41" s="1"/>
  <c r="AS41"/>
  <c r="AO41"/>
  <c r="AK41"/>
  <c r="N41"/>
  <c r="M41"/>
  <c r="AV40"/>
  <c r="AU40"/>
  <c r="AS40"/>
  <c r="AM40"/>
  <c r="AL40"/>
  <c r="AK40"/>
  <c r="AO40" s="1"/>
  <c r="M40"/>
  <c r="N40" s="1"/>
  <c r="AV39"/>
  <c r="AU39"/>
  <c r="AS39"/>
  <c r="AO39"/>
  <c r="AK39"/>
  <c r="N39"/>
  <c r="M39"/>
  <c r="AV37"/>
  <c r="AU36"/>
  <c r="AT36"/>
  <c r="AV36" s="1"/>
  <c r="AS36"/>
  <c r="AK36"/>
  <c r="N36"/>
  <c r="M36"/>
  <c r="AV35"/>
  <c r="AU35"/>
  <c r="AS35"/>
  <c r="AM35"/>
  <c r="AL35"/>
  <c r="AK35"/>
  <c r="AO35" s="1"/>
  <c r="M35"/>
  <c r="N35" s="1"/>
  <c r="AV34"/>
  <c r="AV33"/>
  <c r="AV32"/>
  <c r="AV31"/>
  <c r="AT30"/>
  <c r="AV30" s="1"/>
  <c r="AU29"/>
  <c r="AT29"/>
  <c r="AV29" s="1"/>
  <c r="AS29"/>
  <c r="AM29"/>
  <c r="AL29"/>
  <c r="AK29"/>
  <c r="AO29" s="1"/>
  <c r="M29"/>
  <c r="N29" s="1"/>
  <c r="AV28"/>
  <c r="AV27"/>
  <c r="AU27"/>
  <c r="AS27"/>
  <c r="AK27"/>
  <c r="AO27" s="1"/>
  <c r="M27"/>
  <c r="N27" s="1"/>
  <c r="AV26"/>
  <c r="AV25"/>
  <c r="AU25"/>
  <c r="AS25"/>
  <c r="AK25"/>
  <c r="AO25" s="1"/>
  <c r="N25"/>
  <c r="M25"/>
  <c r="AT24"/>
  <c r="AV24" s="1"/>
  <c r="AS24"/>
  <c r="AO24"/>
  <c r="AM24"/>
  <c r="AM90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E90" s="1"/>
  <c r="M20"/>
  <c r="N20" s="1"/>
  <c r="AV19"/>
  <c r="AU19"/>
  <c r="AS19"/>
  <c r="AK19"/>
  <c r="AO19" s="1"/>
  <c r="N19"/>
  <c r="M19"/>
  <c r="AV18"/>
  <c r="AU18"/>
  <c r="AS18"/>
  <c r="AK18"/>
  <c r="AO18" s="1"/>
  <c r="M18"/>
  <c r="N18" s="1"/>
  <c r="AV17"/>
  <c r="AU17"/>
  <c r="AS17"/>
  <c r="AS90" s="1"/>
  <c r="AL17"/>
  <c r="AL90" s="1"/>
  <c r="AK17"/>
  <c r="M17"/>
  <c r="N17" s="1"/>
  <c r="N90" s="1"/>
  <c r="AQ90" i="68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O88"/>
  <c r="AK88"/>
  <c r="N88"/>
  <c r="M88"/>
  <c r="AV87"/>
  <c r="AU87"/>
  <c r="AS87"/>
  <c r="AK87"/>
  <c r="AO87" s="1"/>
  <c r="M87"/>
  <c r="N87" s="1"/>
  <c r="AV86"/>
  <c r="AU86"/>
  <c r="AS86"/>
  <c r="AO86"/>
  <c r="AK86"/>
  <c r="N86"/>
  <c r="M86"/>
  <c r="AT85"/>
  <c r="AU85" s="1"/>
  <c r="AS85"/>
  <c r="AO85"/>
  <c r="AK85"/>
  <c r="N85"/>
  <c r="M85"/>
  <c r="AV84"/>
  <c r="AU84"/>
  <c r="AS84"/>
  <c r="AK84"/>
  <c r="AO84" s="1"/>
  <c r="M84"/>
  <c r="N84" s="1"/>
  <c r="AV83"/>
  <c r="AU83"/>
  <c r="AS83"/>
  <c r="AO83"/>
  <c r="AK83"/>
  <c r="N83"/>
  <c r="M83"/>
  <c r="AV82"/>
  <c r="AV81"/>
  <c r="AV80"/>
  <c r="AV79"/>
  <c r="AV78"/>
  <c r="AV77"/>
  <c r="AV76"/>
  <c r="AV75"/>
  <c r="AV74"/>
  <c r="AU73"/>
  <c r="AT73"/>
  <c r="AV73" s="1"/>
  <c r="AS73"/>
  <c r="AK73"/>
  <c r="AO73" s="1"/>
  <c r="M73"/>
  <c r="N73" s="1"/>
  <c r="AV72"/>
  <c r="AV71"/>
  <c r="AV70"/>
  <c r="AV69"/>
  <c r="AU68"/>
  <c r="AT68"/>
  <c r="AV68" s="1"/>
  <c r="AS68"/>
  <c r="AK68"/>
  <c r="AO68" s="1"/>
  <c r="M68"/>
  <c r="N68" s="1"/>
  <c r="AV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N56"/>
  <c r="M56"/>
  <c r="AV55"/>
  <c r="AU55"/>
  <c r="AS55"/>
  <c r="AK55"/>
  <c r="AO55" s="1"/>
  <c r="M55"/>
  <c r="N55" s="1"/>
  <c r="AV54"/>
  <c r="AU54"/>
  <c r="AS54"/>
  <c r="AO54"/>
  <c r="AK54"/>
  <c r="N54"/>
  <c r="M54"/>
  <c r="AT53"/>
  <c r="AU53" s="1"/>
  <c r="AS53"/>
  <c r="AK53"/>
  <c r="AO53" s="1"/>
  <c r="M53"/>
  <c r="N53" s="1"/>
  <c r="AT52"/>
  <c r="AU52" s="1"/>
  <c r="AS52"/>
  <c r="AK52"/>
  <c r="AO52" s="1"/>
  <c r="M52"/>
  <c r="N52" s="1"/>
  <c r="AT51"/>
  <c r="AU51" s="1"/>
  <c r="AS51"/>
  <c r="AO51"/>
  <c r="AK51"/>
  <c r="N51"/>
  <c r="M51"/>
  <c r="AV50"/>
  <c r="AU50"/>
  <c r="AS50"/>
  <c r="AK50"/>
  <c r="AO50" s="1"/>
  <c r="M50"/>
  <c r="N50" s="1"/>
  <c r="AV49"/>
  <c r="AU49"/>
  <c r="AS49"/>
  <c r="AO49"/>
  <c r="AK49"/>
  <c r="N49"/>
  <c r="M49"/>
  <c r="AT48"/>
  <c r="AU48" s="1"/>
  <c r="AS48"/>
  <c r="AK48"/>
  <c r="AO48" s="1"/>
  <c r="N48"/>
  <c r="M48"/>
  <c r="AT47"/>
  <c r="AU47" s="1"/>
  <c r="AS47"/>
  <c r="AO47"/>
  <c r="AK47"/>
  <c r="N47"/>
  <c r="M47"/>
  <c r="AV46"/>
  <c r="AU46"/>
  <c r="AS46"/>
  <c r="AK46"/>
  <c r="AO46" s="1"/>
  <c r="M46"/>
  <c r="N46" s="1"/>
  <c r="AV45"/>
  <c r="AU45"/>
  <c r="AS45"/>
  <c r="AO45"/>
  <c r="AK45"/>
  <c r="N45"/>
  <c r="M45"/>
  <c r="AU44"/>
  <c r="AS44"/>
  <c r="AK44"/>
  <c r="AO44" s="1"/>
  <c r="M44"/>
  <c r="N44" s="1"/>
  <c r="AT43"/>
  <c r="AU43" s="1"/>
  <c r="AS43"/>
  <c r="AO43"/>
  <c r="AK43"/>
  <c r="N43"/>
  <c r="M43"/>
  <c r="AT42"/>
  <c r="AU42" s="1"/>
  <c r="AS42"/>
  <c r="AO42"/>
  <c r="AK42"/>
  <c r="N42"/>
  <c r="M42"/>
  <c r="AT41"/>
  <c r="AU41" s="1"/>
  <c r="AS41"/>
  <c r="AO41"/>
  <c r="AK41"/>
  <c r="N41"/>
  <c r="M41"/>
  <c r="AV40"/>
  <c r="AU40"/>
  <c r="AS40"/>
  <c r="AM40"/>
  <c r="AL40"/>
  <c r="AK40"/>
  <c r="AO40" s="1"/>
  <c r="M40"/>
  <c r="N40" s="1"/>
  <c r="AV39"/>
  <c r="AU39"/>
  <c r="AS39"/>
  <c r="AO39"/>
  <c r="AK39"/>
  <c r="N39"/>
  <c r="M39"/>
  <c r="AV37"/>
  <c r="AU36"/>
  <c r="AT36"/>
  <c r="AV36" s="1"/>
  <c r="AS36"/>
  <c r="AK36"/>
  <c r="N36"/>
  <c r="M36"/>
  <c r="AV35"/>
  <c r="AU35"/>
  <c r="AS35"/>
  <c r="AM35"/>
  <c r="AL35"/>
  <c r="AK35"/>
  <c r="AO35" s="1"/>
  <c r="M35"/>
  <c r="N35" s="1"/>
  <c r="AV34"/>
  <c r="AV33"/>
  <c r="AV32"/>
  <c r="AV31"/>
  <c r="AT30"/>
  <c r="AV30" s="1"/>
  <c r="AU29"/>
  <c r="AT29"/>
  <c r="AV29" s="1"/>
  <c r="AS29"/>
  <c r="AM29"/>
  <c r="AL29"/>
  <c r="AK29"/>
  <c r="AO29" s="1"/>
  <c r="M29"/>
  <c r="N29" s="1"/>
  <c r="AV28"/>
  <c r="AV27"/>
  <c r="AU27"/>
  <c r="AS27"/>
  <c r="AK27"/>
  <c r="AO27" s="1"/>
  <c r="M27"/>
  <c r="N27" s="1"/>
  <c r="AV26"/>
  <c r="AV25"/>
  <c r="AU25"/>
  <c r="AS25"/>
  <c r="AK25"/>
  <c r="AO25" s="1"/>
  <c r="M25"/>
  <c r="N25" s="1"/>
  <c r="AU24"/>
  <c r="AT24"/>
  <c r="AV24" s="1"/>
  <c r="AS24"/>
  <c r="AO24"/>
  <c r="AM24"/>
  <c r="AM90" s="1"/>
  <c r="AL24"/>
  <c r="AK24"/>
  <c r="M24"/>
  <c r="N24" s="1"/>
  <c r="AV23"/>
  <c r="AU23"/>
  <c r="AS23"/>
  <c r="AO23"/>
  <c r="AK23"/>
  <c r="N23"/>
  <c r="M23"/>
  <c r="AV22"/>
  <c r="AU22"/>
  <c r="AS22"/>
  <c r="AK22"/>
  <c r="AO22" s="1"/>
  <c r="M22"/>
  <c r="N22" s="1"/>
  <c r="AV21"/>
  <c r="AU21"/>
  <c r="AS21"/>
  <c r="AO21"/>
  <c r="AK21"/>
  <c r="N21"/>
  <c r="M21"/>
  <c r="AV20"/>
  <c r="AU20"/>
  <c r="AS20"/>
  <c r="AK20"/>
  <c r="AO20" s="1"/>
  <c r="AE20"/>
  <c r="AE90" s="1"/>
  <c r="N20"/>
  <c r="M20"/>
  <c r="AV19"/>
  <c r="AU19"/>
  <c r="AS19"/>
  <c r="AK19"/>
  <c r="AO19" s="1"/>
  <c r="M19"/>
  <c r="N19" s="1"/>
  <c r="AV18"/>
  <c r="AU18"/>
  <c r="AS18"/>
  <c r="AO18"/>
  <c r="AK18"/>
  <c r="N18"/>
  <c r="M18"/>
  <c r="AV17"/>
  <c r="AU17"/>
  <c r="AS17"/>
  <c r="AL17"/>
  <c r="AL90" s="1"/>
  <c r="AK17"/>
  <c r="M17"/>
  <c r="N17" s="1"/>
  <c r="AQ90" i="67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K88"/>
  <c r="AO88" s="1"/>
  <c r="M88"/>
  <c r="N88" s="1"/>
  <c r="AV87"/>
  <c r="AU87"/>
  <c r="AS87"/>
  <c r="AK87"/>
  <c r="AO87" s="1"/>
  <c r="M87"/>
  <c r="N87" s="1"/>
  <c r="AV86"/>
  <c r="AU86"/>
  <c r="AS86"/>
  <c r="AK86"/>
  <c r="AO86" s="1"/>
  <c r="M86"/>
  <c r="N86" s="1"/>
  <c r="AT85"/>
  <c r="AU85" s="1"/>
  <c r="AS85"/>
  <c r="AO85"/>
  <c r="AK85"/>
  <c r="N85"/>
  <c r="M85"/>
  <c r="AV84"/>
  <c r="AU84"/>
  <c r="AS84"/>
  <c r="AK84"/>
  <c r="AO84" s="1"/>
  <c r="M84"/>
  <c r="N84" s="1"/>
  <c r="AV83"/>
  <c r="AU83"/>
  <c r="AS83"/>
  <c r="AO83"/>
  <c r="AK83"/>
  <c r="N83"/>
  <c r="M83"/>
  <c r="AV82"/>
  <c r="AV81"/>
  <c r="AV80"/>
  <c r="AV79"/>
  <c r="AV78"/>
  <c r="AV77"/>
  <c r="AV76"/>
  <c r="AV75"/>
  <c r="AV74"/>
  <c r="AT73"/>
  <c r="AU73" s="1"/>
  <c r="AS73"/>
  <c r="AK73"/>
  <c r="AO73" s="1"/>
  <c r="M73"/>
  <c r="N73" s="1"/>
  <c r="AV72"/>
  <c r="AV69"/>
  <c r="AV71"/>
  <c r="AV70"/>
  <c r="AT68"/>
  <c r="AU68" s="1"/>
  <c r="AS68"/>
  <c r="AK68"/>
  <c r="AO68" s="1"/>
  <c r="M68"/>
  <c r="N68" s="1"/>
  <c r="AV67"/>
  <c r="AV66"/>
  <c r="AU66"/>
  <c r="AS66"/>
  <c r="AK66"/>
  <c r="AO66" s="1"/>
  <c r="M66"/>
  <c r="N66" s="1"/>
  <c r="AT65"/>
  <c r="AU65" s="1"/>
  <c r="AS65"/>
  <c r="AK65"/>
  <c r="AO65" s="1"/>
  <c r="M65"/>
  <c r="N65" s="1"/>
  <c r="AT64"/>
  <c r="AU64" s="1"/>
  <c r="AS64"/>
  <c r="AK64"/>
  <c r="AO64" s="1"/>
  <c r="M64"/>
  <c r="N64" s="1"/>
  <c r="AT63"/>
  <c r="AU63" s="1"/>
  <c r="AS63"/>
  <c r="AK63"/>
  <c r="AO63" s="1"/>
  <c r="M63"/>
  <c r="N63" s="1"/>
  <c r="AV62"/>
  <c r="AU62"/>
  <c r="AS62"/>
  <c r="AK62"/>
  <c r="AO62" s="1"/>
  <c r="M62"/>
  <c r="N62" s="1"/>
  <c r="AV61"/>
  <c r="AU61"/>
  <c r="AS61"/>
  <c r="AO61"/>
  <c r="AK61"/>
  <c r="N61"/>
  <c r="M61"/>
  <c r="AV60"/>
  <c r="AR60"/>
  <c r="AU60" s="1"/>
  <c r="AK60"/>
  <c r="AO60" s="1"/>
  <c r="M60"/>
  <c r="N60" s="1"/>
  <c r="AV59"/>
  <c r="AR59"/>
  <c r="AU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M56"/>
  <c r="N56" s="1"/>
  <c r="AV55"/>
  <c r="AU55"/>
  <c r="AS55"/>
  <c r="AO55"/>
  <c r="AK55"/>
  <c r="N55"/>
  <c r="M55"/>
  <c r="AV54"/>
  <c r="AU54"/>
  <c r="AS54"/>
  <c r="AK54"/>
  <c r="AO54" s="1"/>
  <c r="M54"/>
  <c r="N54" s="1"/>
  <c r="AT53"/>
  <c r="AV53" s="1"/>
  <c r="AS53"/>
  <c r="AK53"/>
  <c r="AO53" s="1"/>
  <c r="M53"/>
  <c r="N53" s="1"/>
  <c r="AT52"/>
  <c r="AV52" s="1"/>
  <c r="AS52"/>
  <c r="AK52"/>
  <c r="AO52" s="1"/>
  <c r="M52"/>
  <c r="N52" s="1"/>
  <c r="AT51"/>
  <c r="AV51" s="1"/>
  <c r="AS51"/>
  <c r="AK51"/>
  <c r="AO51" s="1"/>
  <c r="M51"/>
  <c r="N51" s="1"/>
  <c r="AV50"/>
  <c r="AU50"/>
  <c r="AS50"/>
  <c r="AK50"/>
  <c r="AO50" s="1"/>
  <c r="M50"/>
  <c r="N50" s="1"/>
  <c r="AV49"/>
  <c r="AU49"/>
  <c r="AS49"/>
  <c r="AK49"/>
  <c r="AO49" s="1"/>
  <c r="M49"/>
  <c r="N49" s="1"/>
  <c r="AT48"/>
  <c r="AV48" s="1"/>
  <c r="AS48"/>
  <c r="AK48"/>
  <c r="AO48" s="1"/>
  <c r="M48"/>
  <c r="N48" s="1"/>
  <c r="AT47"/>
  <c r="AV47" s="1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U44"/>
  <c r="AS44"/>
  <c r="AK44"/>
  <c r="AO44" s="1"/>
  <c r="M44"/>
  <c r="N44" s="1"/>
  <c r="AT43"/>
  <c r="AU43" s="1"/>
  <c r="AS43"/>
  <c r="AK43"/>
  <c r="AO43" s="1"/>
  <c r="M43"/>
  <c r="N43" s="1"/>
  <c r="AT42"/>
  <c r="AU42" s="1"/>
  <c r="AS42"/>
  <c r="AK42"/>
  <c r="AO42" s="1"/>
  <c r="M42"/>
  <c r="N42" s="1"/>
  <c r="AT41"/>
  <c r="AU41" s="1"/>
  <c r="AS41"/>
  <c r="AK41"/>
  <c r="AO41" s="1"/>
  <c r="M41"/>
  <c r="N41" s="1"/>
  <c r="AV40"/>
  <c r="AU40"/>
  <c r="AS40"/>
  <c r="AL40"/>
  <c r="AM40" s="1"/>
  <c r="AK40"/>
  <c r="M40"/>
  <c r="N40" s="1"/>
  <c r="AV39"/>
  <c r="AU39"/>
  <c r="AS39"/>
  <c r="AK39"/>
  <c r="AO39" s="1"/>
  <c r="M39"/>
  <c r="N39" s="1"/>
  <c r="AV37"/>
  <c r="AT36"/>
  <c r="AV36" s="1"/>
  <c r="AS36"/>
  <c r="AK36"/>
  <c r="M36"/>
  <c r="N36" s="1"/>
  <c r="AV35"/>
  <c r="AU35"/>
  <c r="AS35"/>
  <c r="AM35"/>
  <c r="AL35"/>
  <c r="AK35"/>
  <c r="AO35" s="1"/>
  <c r="M35"/>
  <c r="N35" s="1"/>
  <c r="AV34"/>
  <c r="AV33"/>
  <c r="AV32"/>
  <c r="AV31"/>
  <c r="AT30"/>
  <c r="AV30" s="1"/>
  <c r="AT29"/>
  <c r="AV29" s="1"/>
  <c r="AS29"/>
  <c r="AM29"/>
  <c r="AL29"/>
  <c r="AK29"/>
  <c r="AO29" s="1"/>
  <c r="M29"/>
  <c r="N29" s="1"/>
  <c r="AV28"/>
  <c r="AV27"/>
  <c r="AU27"/>
  <c r="AS27"/>
  <c r="AK27"/>
  <c r="AO27" s="1"/>
  <c r="M27"/>
  <c r="N27" s="1"/>
  <c r="AV26"/>
  <c r="AV25"/>
  <c r="AU25"/>
  <c r="AS25"/>
  <c r="AK25"/>
  <c r="AO25" s="1"/>
  <c r="M25"/>
  <c r="N25" s="1"/>
  <c r="AT24"/>
  <c r="AV24" s="1"/>
  <c r="AS24"/>
  <c r="AO24"/>
  <c r="AM24"/>
  <c r="AM90" s="1"/>
  <c r="AL24"/>
  <c r="AK24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M21"/>
  <c r="N21" s="1"/>
  <c r="AV20"/>
  <c r="AU20"/>
  <c r="AS20"/>
  <c r="AE20"/>
  <c r="AE90" s="1"/>
  <c r="M20"/>
  <c r="N20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L90" s="1"/>
  <c r="AK17"/>
  <c r="M17"/>
  <c r="N17" s="1"/>
  <c r="AQ90" i="66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O88"/>
  <c r="AK88"/>
  <c r="N88"/>
  <c r="M88"/>
  <c r="AV87"/>
  <c r="AU87"/>
  <c r="AS87"/>
  <c r="AK87"/>
  <c r="AO87" s="1"/>
  <c r="M87"/>
  <c r="N87" s="1"/>
  <c r="AV86"/>
  <c r="AU86"/>
  <c r="AS86"/>
  <c r="AO86"/>
  <c r="AK86"/>
  <c r="N86"/>
  <c r="M86"/>
  <c r="AT85"/>
  <c r="AU85" s="1"/>
  <c r="AS85"/>
  <c r="AO85"/>
  <c r="AK85"/>
  <c r="N85"/>
  <c r="M85"/>
  <c r="AV84"/>
  <c r="AU84"/>
  <c r="AS84"/>
  <c r="AK84"/>
  <c r="AO84" s="1"/>
  <c r="M84"/>
  <c r="N84" s="1"/>
  <c r="AV83"/>
  <c r="AU83"/>
  <c r="AS83"/>
  <c r="AO83"/>
  <c r="AK83"/>
  <c r="N83"/>
  <c r="M83"/>
  <c r="AV82"/>
  <c r="AV81"/>
  <c r="AV80"/>
  <c r="AT79"/>
  <c r="AV79" s="1"/>
  <c r="AV78"/>
  <c r="AV77"/>
  <c r="AV76"/>
  <c r="AV75"/>
  <c r="AV74"/>
  <c r="AT73"/>
  <c r="AU73" s="1"/>
  <c r="AS73"/>
  <c r="AO73"/>
  <c r="AK73"/>
  <c r="N73"/>
  <c r="M73"/>
  <c r="AV72"/>
  <c r="AV71"/>
  <c r="AV70"/>
  <c r="AV69"/>
  <c r="AT68"/>
  <c r="AU68" s="1"/>
  <c r="AS68"/>
  <c r="AO68"/>
  <c r="AK68"/>
  <c r="N68"/>
  <c r="M68"/>
  <c r="AV67"/>
  <c r="AV66"/>
  <c r="AU66"/>
  <c r="AS66"/>
  <c r="AO66"/>
  <c r="AK66"/>
  <c r="N66"/>
  <c r="M66"/>
  <c r="AT65"/>
  <c r="AU65" s="1"/>
  <c r="AS65"/>
  <c r="AO65"/>
  <c r="AK65"/>
  <c r="N65"/>
  <c r="M65"/>
  <c r="AT64"/>
  <c r="AU64" s="1"/>
  <c r="AS64"/>
  <c r="AO64"/>
  <c r="AK64"/>
  <c r="N64"/>
  <c r="M64"/>
  <c r="AT63"/>
  <c r="AU63" s="1"/>
  <c r="AS63"/>
  <c r="AO63"/>
  <c r="AK63"/>
  <c r="N63"/>
  <c r="M63"/>
  <c r="AV62"/>
  <c r="AU62"/>
  <c r="AS62"/>
  <c r="AK62"/>
  <c r="AO62" s="1"/>
  <c r="M62"/>
  <c r="N62" s="1"/>
  <c r="AV61"/>
  <c r="AU61"/>
  <c r="AS61"/>
  <c r="AO61"/>
  <c r="AK61"/>
  <c r="N61"/>
  <c r="M61"/>
  <c r="AV60"/>
  <c r="AR60"/>
  <c r="AU60" s="1"/>
  <c r="AK60"/>
  <c r="AO60" s="1"/>
  <c r="M60"/>
  <c r="N60" s="1"/>
  <c r="AV59"/>
  <c r="AR59"/>
  <c r="AU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M56"/>
  <c r="N56" s="1"/>
  <c r="AV55"/>
  <c r="AU55"/>
  <c r="AS55"/>
  <c r="AK55"/>
  <c r="AO55" s="1"/>
  <c r="M55"/>
  <c r="N55" s="1"/>
  <c r="AV54"/>
  <c r="AU54"/>
  <c r="AS54"/>
  <c r="AO54"/>
  <c r="AK54"/>
  <c r="N54"/>
  <c r="M54"/>
  <c r="AT53"/>
  <c r="AV53" s="1"/>
  <c r="AS53"/>
  <c r="AO53"/>
  <c r="AK53"/>
  <c r="N53"/>
  <c r="M53"/>
  <c r="AT52"/>
  <c r="AV52" s="1"/>
  <c r="AS52"/>
  <c r="AO52"/>
  <c r="AK52"/>
  <c r="N52"/>
  <c r="M52"/>
  <c r="AT51"/>
  <c r="AV51" s="1"/>
  <c r="AS51"/>
  <c r="AO51"/>
  <c r="AK51"/>
  <c r="N51"/>
  <c r="M51"/>
  <c r="AV50"/>
  <c r="AU50"/>
  <c r="AS50"/>
  <c r="AK50"/>
  <c r="AO50" s="1"/>
  <c r="M50"/>
  <c r="N50" s="1"/>
  <c r="AV49"/>
  <c r="AU49"/>
  <c r="AS49"/>
  <c r="AO49"/>
  <c r="AK49"/>
  <c r="N49"/>
  <c r="M49"/>
  <c r="AT48"/>
  <c r="AV48" s="1"/>
  <c r="AS48"/>
  <c r="AO48"/>
  <c r="AK48"/>
  <c r="N48"/>
  <c r="M48"/>
  <c r="AT47"/>
  <c r="AV47" s="1"/>
  <c r="AS47"/>
  <c r="AO47"/>
  <c r="AK47"/>
  <c r="N47"/>
  <c r="M47"/>
  <c r="AV46"/>
  <c r="AU46"/>
  <c r="AS46"/>
  <c r="AK46"/>
  <c r="AO46" s="1"/>
  <c r="M46"/>
  <c r="N46" s="1"/>
  <c r="AV45"/>
  <c r="AU45"/>
  <c r="AS45"/>
  <c r="AO45"/>
  <c r="AK45"/>
  <c r="N45"/>
  <c r="M45"/>
  <c r="AV44"/>
  <c r="AU44"/>
  <c r="AS44"/>
  <c r="AK44"/>
  <c r="AO44" s="1"/>
  <c r="M44"/>
  <c r="N44" s="1"/>
  <c r="AU43"/>
  <c r="AT43"/>
  <c r="AV43" s="1"/>
  <c r="AS43"/>
  <c r="AK43"/>
  <c r="AO43" s="1"/>
  <c r="M43"/>
  <c r="N43" s="1"/>
  <c r="AU42"/>
  <c r="AT42"/>
  <c r="AV42" s="1"/>
  <c r="AS42"/>
  <c r="AK42"/>
  <c r="AO42" s="1"/>
  <c r="M42"/>
  <c r="N42" s="1"/>
  <c r="AU41"/>
  <c r="AT41"/>
  <c r="AV41" s="1"/>
  <c r="AS41"/>
  <c r="AK41"/>
  <c r="AO41" s="1"/>
  <c r="M41"/>
  <c r="N41" s="1"/>
  <c r="AV40"/>
  <c r="AU40"/>
  <c r="AS40"/>
  <c r="AL40"/>
  <c r="AM40" s="1"/>
  <c r="AO40" s="1"/>
  <c r="AK40"/>
  <c r="N40"/>
  <c r="M40"/>
  <c r="AV39"/>
  <c r="AU39"/>
  <c r="AS39"/>
  <c r="AK39"/>
  <c r="AO39" s="1"/>
  <c r="M39"/>
  <c r="N39" s="1"/>
  <c r="AV37"/>
  <c r="AT36"/>
  <c r="AV36" s="1"/>
  <c r="AS36"/>
  <c r="AK36"/>
  <c r="M36"/>
  <c r="N36" s="1"/>
  <c r="AV35"/>
  <c r="AU35"/>
  <c r="AS35"/>
  <c r="AO35"/>
  <c r="AM35"/>
  <c r="AL35"/>
  <c r="AK35"/>
  <c r="N35"/>
  <c r="M35"/>
  <c r="AV34"/>
  <c r="AV33"/>
  <c r="AV32"/>
  <c r="AV31"/>
  <c r="AV30"/>
  <c r="AT30"/>
  <c r="AT29"/>
  <c r="AV29" s="1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T24"/>
  <c r="AV24" s="1"/>
  <c r="AS24"/>
  <c r="AO24"/>
  <c r="AM24"/>
  <c r="AM90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E9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L17"/>
  <c r="AL90" s="1"/>
  <c r="AK17"/>
  <c r="N17"/>
  <c r="M17"/>
  <c r="AV78" i="65"/>
  <c r="AQ90"/>
  <c r="AP90"/>
  <c r="AN90"/>
  <c r="AJ90"/>
  <c r="AI90"/>
  <c r="AH90"/>
  <c r="AG90"/>
  <c r="AF90"/>
  <c r="AD90"/>
  <c r="AC90"/>
  <c r="AB90"/>
  <c r="T90"/>
  <c r="R90"/>
  <c r="P90"/>
  <c r="K90"/>
  <c r="AV88"/>
  <c r="AU88"/>
  <c r="AS88"/>
  <c r="AO88"/>
  <c r="AK88"/>
  <c r="N88"/>
  <c r="M88"/>
  <c r="AV87"/>
  <c r="AU87"/>
  <c r="AS87"/>
  <c r="AK87"/>
  <c r="AO87" s="1"/>
  <c r="M87"/>
  <c r="N87" s="1"/>
  <c r="AV86"/>
  <c r="AU86"/>
  <c r="AS86"/>
  <c r="AO86"/>
  <c r="AK86"/>
  <c r="N86"/>
  <c r="M86"/>
  <c r="AT85"/>
  <c r="AU85" s="1"/>
  <c r="AS85"/>
  <c r="AO85"/>
  <c r="AK85"/>
  <c r="N85"/>
  <c r="M85"/>
  <c r="AV84"/>
  <c r="AU84"/>
  <c r="AS84"/>
  <c r="AK84"/>
  <c r="AO84" s="1"/>
  <c r="M84"/>
  <c r="N84" s="1"/>
  <c r="AV83"/>
  <c r="AU83"/>
  <c r="AS83"/>
  <c r="AO83"/>
  <c r="AK83"/>
  <c r="N83"/>
  <c r="M83"/>
  <c r="AV82"/>
  <c r="AV81"/>
  <c r="AV80"/>
  <c r="AT79"/>
  <c r="AV79" s="1"/>
  <c r="AV77"/>
  <c r="AV76"/>
  <c r="AV75"/>
  <c r="AV74"/>
  <c r="AU73"/>
  <c r="AT73"/>
  <c r="AV73" s="1"/>
  <c r="AS73"/>
  <c r="AK73"/>
  <c r="AO73" s="1"/>
  <c r="M73"/>
  <c r="N73" s="1"/>
  <c r="AV72"/>
  <c r="AV71"/>
  <c r="AV70"/>
  <c r="AV69"/>
  <c r="AU68"/>
  <c r="AT68"/>
  <c r="AV68" s="1"/>
  <c r="AS68"/>
  <c r="AK68"/>
  <c r="AO68" s="1"/>
  <c r="M68"/>
  <c r="N68" s="1"/>
  <c r="AV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N56"/>
  <c r="M56"/>
  <c r="AV55"/>
  <c r="AU55"/>
  <c r="AS55"/>
  <c r="AK55"/>
  <c r="AO55" s="1"/>
  <c r="M55"/>
  <c r="N55" s="1"/>
  <c r="AV54"/>
  <c r="AU54"/>
  <c r="AS54"/>
  <c r="AO54"/>
  <c r="AK54"/>
  <c r="N54"/>
  <c r="M54"/>
  <c r="AT53"/>
  <c r="AU53" s="1"/>
  <c r="AS53"/>
  <c r="AO53"/>
  <c r="AK53"/>
  <c r="N53"/>
  <c r="M53"/>
  <c r="AT52"/>
  <c r="AU52" s="1"/>
  <c r="AS52"/>
  <c r="AO52"/>
  <c r="AK52"/>
  <c r="N52"/>
  <c r="M52"/>
  <c r="AT51"/>
  <c r="AU51" s="1"/>
  <c r="AS51"/>
  <c r="AO51"/>
  <c r="AK51"/>
  <c r="N51"/>
  <c r="M51"/>
  <c r="AV50"/>
  <c r="AU50"/>
  <c r="AS50"/>
  <c r="AK50"/>
  <c r="AO50" s="1"/>
  <c r="M50"/>
  <c r="N50" s="1"/>
  <c r="AV49"/>
  <c r="AU49"/>
  <c r="AS49"/>
  <c r="AK49"/>
  <c r="AO49" s="1"/>
  <c r="M49"/>
  <c r="N49" s="1"/>
  <c r="AT48"/>
  <c r="AU48" s="1"/>
  <c r="AS48"/>
  <c r="AK48"/>
  <c r="AO48" s="1"/>
  <c r="M48"/>
  <c r="N48" s="1"/>
  <c r="AT47"/>
  <c r="AU47" s="1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V44"/>
  <c r="AU44"/>
  <c r="AS44"/>
  <c r="AK44"/>
  <c r="AO44" s="1"/>
  <c r="N44"/>
  <c r="M44"/>
  <c r="AT43"/>
  <c r="AV43" s="1"/>
  <c r="AS43"/>
  <c r="AO43"/>
  <c r="AK43"/>
  <c r="N43"/>
  <c r="M43"/>
  <c r="AT42"/>
  <c r="AV42" s="1"/>
  <c r="AS42"/>
  <c r="AO42"/>
  <c r="AK42"/>
  <c r="N42"/>
  <c r="M42"/>
  <c r="AT41"/>
  <c r="AV41" s="1"/>
  <c r="AS41"/>
  <c r="AO41"/>
  <c r="AK41"/>
  <c r="N41"/>
  <c r="M41"/>
  <c r="AV40"/>
  <c r="AU40"/>
  <c r="AS40"/>
  <c r="AM40"/>
  <c r="AL40"/>
  <c r="AK40"/>
  <c r="AO40" s="1"/>
  <c r="M40"/>
  <c r="N40" s="1"/>
  <c r="AV39"/>
  <c r="AU39"/>
  <c r="AS39"/>
  <c r="AO39"/>
  <c r="AK39"/>
  <c r="N39"/>
  <c r="M39"/>
  <c r="AV37"/>
  <c r="AU36"/>
  <c r="AT36"/>
  <c r="AV36" s="1"/>
  <c r="AS36"/>
  <c r="AK36"/>
  <c r="N36"/>
  <c r="M36"/>
  <c r="AV35"/>
  <c r="AU35"/>
  <c r="AS35"/>
  <c r="AM35"/>
  <c r="AL35"/>
  <c r="AK35"/>
  <c r="AO35" s="1"/>
  <c r="M35"/>
  <c r="N35" s="1"/>
  <c r="AV34"/>
  <c r="AV33"/>
  <c r="AV32"/>
  <c r="AV31"/>
  <c r="AT30"/>
  <c r="AV30" s="1"/>
  <c r="AU29"/>
  <c r="AT29"/>
  <c r="AV29" s="1"/>
  <c r="AS29"/>
  <c r="AM29"/>
  <c r="AL29"/>
  <c r="AK29"/>
  <c r="AO29" s="1"/>
  <c r="M29"/>
  <c r="N29" s="1"/>
  <c r="AV28"/>
  <c r="AV27"/>
  <c r="AU27"/>
  <c r="AS27"/>
  <c r="AK27"/>
  <c r="AO27" s="1"/>
  <c r="M27"/>
  <c r="N27" s="1"/>
  <c r="AV26"/>
  <c r="AV25"/>
  <c r="AU25"/>
  <c r="AS25"/>
  <c r="AK25"/>
  <c r="AO25" s="1"/>
  <c r="M25"/>
  <c r="N25" s="1"/>
  <c r="AU24"/>
  <c r="AT24"/>
  <c r="AT90" s="1"/>
  <c r="AS24"/>
  <c r="AO24"/>
  <c r="AM24"/>
  <c r="AM90" s="1"/>
  <c r="AL24"/>
  <c r="AK24"/>
  <c r="M24"/>
  <c r="N24" s="1"/>
  <c r="AV23"/>
  <c r="AU23"/>
  <c r="AS23"/>
  <c r="AO23"/>
  <c r="AK23"/>
  <c r="N23"/>
  <c r="M23"/>
  <c r="AV22"/>
  <c r="AU22"/>
  <c r="AS22"/>
  <c r="AK22"/>
  <c r="AO22" s="1"/>
  <c r="M22"/>
  <c r="N22" s="1"/>
  <c r="AV21"/>
  <c r="AU21"/>
  <c r="AS21"/>
  <c r="AO21"/>
  <c r="AK21"/>
  <c r="N21"/>
  <c r="M21"/>
  <c r="AV20"/>
  <c r="AU20"/>
  <c r="AS20"/>
  <c r="AK20"/>
  <c r="AO20" s="1"/>
  <c r="AE20"/>
  <c r="AE90" s="1"/>
  <c r="N20"/>
  <c r="M20"/>
  <c r="AV19"/>
  <c r="AU19"/>
  <c r="AS19"/>
  <c r="AK19"/>
  <c r="AO19" s="1"/>
  <c r="M19"/>
  <c r="N19" s="1"/>
  <c r="AV18"/>
  <c r="AU18"/>
  <c r="AS18"/>
  <c r="AO18"/>
  <c r="AK18"/>
  <c r="N18"/>
  <c r="M18"/>
  <c r="AV17"/>
  <c r="AU17"/>
  <c r="AS17"/>
  <c r="AS90" s="1"/>
  <c r="AL17"/>
  <c r="AL90" s="1"/>
  <c r="AK17"/>
  <c r="AK90" s="1"/>
  <c r="M17"/>
  <c r="N17" s="1"/>
  <c r="N90" s="1"/>
  <c r="AQ89" i="64"/>
  <c r="AP89"/>
  <c r="AN89"/>
  <c r="AJ89"/>
  <c r="AI89"/>
  <c r="AH89"/>
  <c r="AG89"/>
  <c r="AF89"/>
  <c r="AD89"/>
  <c r="AC89"/>
  <c r="AB89"/>
  <c r="T89"/>
  <c r="R89"/>
  <c r="P89"/>
  <c r="K89"/>
  <c r="AV87"/>
  <c r="AU87"/>
  <c r="AS87"/>
  <c r="AO87"/>
  <c r="AK87"/>
  <c r="N87"/>
  <c r="M87"/>
  <c r="AV86"/>
  <c r="AU86"/>
  <c r="AS86"/>
  <c r="AK86"/>
  <c r="AO86" s="1"/>
  <c r="M86"/>
  <c r="N86" s="1"/>
  <c r="AV85"/>
  <c r="AU85"/>
  <c r="AS85"/>
  <c r="AO85"/>
  <c r="AK85"/>
  <c r="N85"/>
  <c r="M85"/>
  <c r="AT84"/>
  <c r="AU84" s="1"/>
  <c r="AS84"/>
  <c r="AO84"/>
  <c r="AK84"/>
  <c r="N84"/>
  <c r="M84"/>
  <c r="AV83"/>
  <c r="AU83"/>
  <c r="AS83"/>
  <c r="AK83"/>
  <c r="AO83" s="1"/>
  <c r="M83"/>
  <c r="N83" s="1"/>
  <c r="AV82"/>
  <c r="AU82"/>
  <c r="AS82"/>
  <c r="AO82"/>
  <c r="AK82"/>
  <c r="N82"/>
  <c r="M82"/>
  <c r="AV81"/>
  <c r="AV80"/>
  <c r="AV79"/>
  <c r="AT78"/>
  <c r="AV78" s="1"/>
  <c r="AV77"/>
  <c r="AV76"/>
  <c r="AV75"/>
  <c r="AV74"/>
  <c r="AU73"/>
  <c r="AT73"/>
  <c r="AV73" s="1"/>
  <c r="AS73"/>
  <c r="AK73"/>
  <c r="AO73" s="1"/>
  <c r="M73"/>
  <c r="N73" s="1"/>
  <c r="AV72"/>
  <c r="AV71"/>
  <c r="AV70"/>
  <c r="AV69"/>
  <c r="AU68"/>
  <c r="AT68"/>
  <c r="AV68" s="1"/>
  <c r="AS68"/>
  <c r="AK68"/>
  <c r="AO68" s="1"/>
  <c r="M68"/>
  <c r="N68" s="1"/>
  <c r="AV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N56"/>
  <c r="M56"/>
  <c r="AV55"/>
  <c r="AU55"/>
  <c r="AS55"/>
  <c r="AK55"/>
  <c r="AO55" s="1"/>
  <c r="M55"/>
  <c r="N55" s="1"/>
  <c r="AV54"/>
  <c r="AU54"/>
  <c r="AS54"/>
  <c r="AO54"/>
  <c r="AK54"/>
  <c r="N54"/>
  <c r="M54"/>
  <c r="AT53"/>
  <c r="AU53" s="1"/>
  <c r="AS53"/>
  <c r="AO53"/>
  <c r="AK53"/>
  <c r="N53"/>
  <c r="M53"/>
  <c r="AT52"/>
  <c r="AU52" s="1"/>
  <c r="AS52"/>
  <c r="AO52"/>
  <c r="AK52"/>
  <c r="N52"/>
  <c r="M52"/>
  <c r="AT51"/>
  <c r="AU51" s="1"/>
  <c r="AS51"/>
  <c r="AO51"/>
  <c r="AK51"/>
  <c r="N51"/>
  <c r="M51"/>
  <c r="AV50"/>
  <c r="AU50"/>
  <c r="AS50"/>
  <c r="AK50"/>
  <c r="AO50" s="1"/>
  <c r="M50"/>
  <c r="N50" s="1"/>
  <c r="AV49"/>
  <c r="AU49"/>
  <c r="AS49"/>
  <c r="AO49"/>
  <c r="AK49"/>
  <c r="N49"/>
  <c r="M49"/>
  <c r="AT48"/>
  <c r="AU48" s="1"/>
  <c r="AS48"/>
  <c r="AO48"/>
  <c r="AK48"/>
  <c r="N48"/>
  <c r="M48"/>
  <c r="AT47"/>
  <c r="AU47" s="1"/>
  <c r="AS47"/>
  <c r="AO47"/>
  <c r="AK47"/>
  <c r="N47"/>
  <c r="M47"/>
  <c r="AV46"/>
  <c r="AU46"/>
  <c r="AS46"/>
  <c r="AK46"/>
  <c r="AO46" s="1"/>
  <c r="M46"/>
  <c r="N46" s="1"/>
  <c r="AV45"/>
  <c r="AU45"/>
  <c r="AS45"/>
  <c r="AO45"/>
  <c r="AK45"/>
  <c r="N45"/>
  <c r="M45"/>
  <c r="AV44"/>
  <c r="AU44"/>
  <c r="AS44"/>
  <c r="AK44"/>
  <c r="AO44" s="1"/>
  <c r="M44"/>
  <c r="N44" s="1"/>
  <c r="AU43"/>
  <c r="AT43"/>
  <c r="AV43" s="1"/>
  <c r="AS43"/>
  <c r="AK43"/>
  <c r="AO43" s="1"/>
  <c r="M43"/>
  <c r="N43" s="1"/>
  <c r="AU42"/>
  <c r="AT42"/>
  <c r="AV42" s="1"/>
  <c r="AS42"/>
  <c r="AK42"/>
  <c r="AO42" s="1"/>
  <c r="M42"/>
  <c r="N42" s="1"/>
  <c r="AU41"/>
  <c r="AT41"/>
  <c r="AV41" s="1"/>
  <c r="AS41"/>
  <c r="AK41"/>
  <c r="AO41" s="1"/>
  <c r="M41"/>
  <c r="N41" s="1"/>
  <c r="AV40"/>
  <c r="AU40"/>
  <c r="AS40"/>
  <c r="AL40"/>
  <c r="AM40" s="1"/>
  <c r="AO40" s="1"/>
  <c r="AK40"/>
  <c r="N40"/>
  <c r="M40"/>
  <c r="AV39"/>
  <c r="AU39"/>
  <c r="AS39"/>
  <c r="AK39"/>
  <c r="AO39" s="1"/>
  <c r="M39"/>
  <c r="N39" s="1"/>
  <c r="AV37"/>
  <c r="AT36"/>
  <c r="AU36" s="1"/>
  <c r="AS36"/>
  <c r="AK36"/>
  <c r="M36"/>
  <c r="N36" s="1"/>
  <c r="AV35"/>
  <c r="AU35"/>
  <c r="AS35"/>
  <c r="AO35"/>
  <c r="AM35"/>
  <c r="AL35"/>
  <c r="AK35"/>
  <c r="N35"/>
  <c r="M35"/>
  <c r="AV34"/>
  <c r="AV33"/>
  <c r="AV32"/>
  <c r="AV31"/>
  <c r="AV30"/>
  <c r="AT30"/>
  <c r="AT29"/>
  <c r="AU29" s="1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T24"/>
  <c r="AU24" s="1"/>
  <c r="AS24"/>
  <c r="AO24"/>
  <c r="AM24"/>
  <c r="AM89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S89" s="1"/>
  <c r="AL17"/>
  <c r="AL89" s="1"/>
  <c r="AK17"/>
  <c r="AK89" s="1"/>
  <c r="N17"/>
  <c r="N89" s="1"/>
  <c r="M17"/>
  <c r="AQ89" i="63"/>
  <c r="AP89"/>
  <c r="AN89"/>
  <c r="AJ89"/>
  <c r="AI89"/>
  <c r="AH89"/>
  <c r="AG89"/>
  <c r="AF89"/>
  <c r="AD89"/>
  <c r="AC89"/>
  <c r="AB89"/>
  <c r="T89"/>
  <c r="R89"/>
  <c r="P89"/>
  <c r="K89"/>
  <c r="AV87"/>
  <c r="AU87"/>
  <c r="AS87"/>
  <c r="AO87"/>
  <c r="AK87"/>
  <c r="N87"/>
  <c r="M87"/>
  <c r="AV86"/>
  <c r="AU86"/>
  <c r="AS86"/>
  <c r="AK86"/>
  <c r="AO86" s="1"/>
  <c r="M86"/>
  <c r="N86" s="1"/>
  <c r="AV85"/>
  <c r="AU85"/>
  <c r="AS85"/>
  <c r="AO85"/>
  <c r="AK85"/>
  <c r="N85"/>
  <c r="M85"/>
  <c r="AT84"/>
  <c r="AU84" s="1"/>
  <c r="AS84"/>
  <c r="AO84"/>
  <c r="AK84"/>
  <c r="N84"/>
  <c r="M84"/>
  <c r="AV83"/>
  <c r="AU83"/>
  <c r="AS83"/>
  <c r="AK83"/>
  <c r="AO83" s="1"/>
  <c r="M83"/>
  <c r="N83" s="1"/>
  <c r="AV82"/>
  <c r="AU82"/>
  <c r="AS82"/>
  <c r="AO82"/>
  <c r="AK82"/>
  <c r="N82"/>
  <c r="M82"/>
  <c r="AV81"/>
  <c r="AV80"/>
  <c r="AV79"/>
  <c r="AT78"/>
  <c r="AV78" s="1"/>
  <c r="AV77"/>
  <c r="AV76"/>
  <c r="AV75"/>
  <c r="AV74"/>
  <c r="AU73"/>
  <c r="AT73"/>
  <c r="AV73" s="1"/>
  <c r="AS73"/>
  <c r="AK73"/>
  <c r="AO73" s="1"/>
  <c r="M73"/>
  <c r="N73" s="1"/>
  <c r="AV72"/>
  <c r="AV71"/>
  <c r="AV70"/>
  <c r="AV69"/>
  <c r="AU68"/>
  <c r="AT68"/>
  <c r="AV68" s="1"/>
  <c r="AS68"/>
  <c r="AK68"/>
  <c r="AO68" s="1"/>
  <c r="M68"/>
  <c r="N68" s="1"/>
  <c r="AV67"/>
  <c r="AV66"/>
  <c r="AU66"/>
  <c r="AS66"/>
  <c r="AK66"/>
  <c r="AO66" s="1"/>
  <c r="M66"/>
  <c r="N66" s="1"/>
  <c r="AU65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U63"/>
  <c r="AT63"/>
  <c r="AV63" s="1"/>
  <c r="AS63"/>
  <c r="AK63"/>
  <c r="AO63" s="1"/>
  <c r="M63"/>
  <c r="N63" s="1"/>
  <c r="AV62"/>
  <c r="AU62"/>
  <c r="AS62"/>
  <c r="AO62"/>
  <c r="AK62"/>
  <c r="N62"/>
  <c r="M62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N56"/>
  <c r="M56"/>
  <c r="AV55"/>
  <c r="AU55"/>
  <c r="AS55"/>
  <c r="AK55"/>
  <c r="AO55" s="1"/>
  <c r="M55"/>
  <c r="N55" s="1"/>
  <c r="AV54"/>
  <c r="AU54"/>
  <c r="AS54"/>
  <c r="AO54"/>
  <c r="AK54"/>
  <c r="N54"/>
  <c r="M54"/>
  <c r="AT53"/>
  <c r="AU53" s="1"/>
  <c r="AS53"/>
  <c r="AO53"/>
  <c r="AK53"/>
  <c r="N53"/>
  <c r="M53"/>
  <c r="AT52"/>
  <c r="AU52" s="1"/>
  <c r="AS52"/>
  <c r="AO52"/>
  <c r="AK52"/>
  <c r="N52"/>
  <c r="M52"/>
  <c r="AT51"/>
  <c r="AU51" s="1"/>
  <c r="AS51"/>
  <c r="AO51"/>
  <c r="AK51"/>
  <c r="N51"/>
  <c r="M51"/>
  <c r="AV50"/>
  <c r="AU50"/>
  <c r="AS50"/>
  <c r="AK50"/>
  <c r="AO50" s="1"/>
  <c r="M50"/>
  <c r="N50" s="1"/>
  <c r="AV49"/>
  <c r="AU49"/>
  <c r="AS49"/>
  <c r="AO49"/>
  <c r="AK49"/>
  <c r="N49"/>
  <c r="M49"/>
  <c r="AT48"/>
  <c r="AU48" s="1"/>
  <c r="AS48"/>
  <c r="AO48"/>
  <c r="AK48"/>
  <c r="N48"/>
  <c r="M48"/>
  <c r="AT47"/>
  <c r="AU47" s="1"/>
  <c r="AS47"/>
  <c r="AO47"/>
  <c r="AK47"/>
  <c r="N47"/>
  <c r="M47"/>
  <c r="AV46"/>
  <c r="AU46"/>
  <c r="AS46"/>
  <c r="AK46"/>
  <c r="AO46" s="1"/>
  <c r="M46"/>
  <c r="N46" s="1"/>
  <c r="AV45"/>
  <c r="AU45"/>
  <c r="AS45"/>
  <c r="AO45"/>
  <c r="AK45"/>
  <c r="N45"/>
  <c r="M45"/>
  <c r="AV44"/>
  <c r="AU44"/>
  <c r="AS44"/>
  <c r="AK44"/>
  <c r="AO44" s="1"/>
  <c r="M44"/>
  <c r="N44" s="1"/>
  <c r="AU43"/>
  <c r="AT43"/>
  <c r="AV43" s="1"/>
  <c r="AS43"/>
  <c r="AK43"/>
  <c r="AO43" s="1"/>
  <c r="M43"/>
  <c r="N43" s="1"/>
  <c r="AU42"/>
  <c r="AT42"/>
  <c r="AV42" s="1"/>
  <c r="AS42"/>
  <c r="AK42"/>
  <c r="AO42" s="1"/>
  <c r="M42"/>
  <c r="N42" s="1"/>
  <c r="AU41"/>
  <c r="AT41"/>
  <c r="AV41" s="1"/>
  <c r="AS41"/>
  <c r="AK41"/>
  <c r="AO41" s="1"/>
  <c r="M41"/>
  <c r="N41" s="1"/>
  <c r="AV40"/>
  <c r="AU40"/>
  <c r="AS40"/>
  <c r="AL40"/>
  <c r="AM40" s="1"/>
  <c r="AO40" s="1"/>
  <c r="AK40"/>
  <c r="N40"/>
  <c r="M40"/>
  <c r="AV39"/>
  <c r="AU39"/>
  <c r="AS39"/>
  <c r="AK39"/>
  <c r="AO39" s="1"/>
  <c r="M39"/>
  <c r="N39" s="1"/>
  <c r="AV37"/>
  <c r="AT36"/>
  <c r="AU36" s="1"/>
  <c r="AS36"/>
  <c r="AK36"/>
  <c r="M36"/>
  <c r="N36" s="1"/>
  <c r="AV35"/>
  <c r="AU35"/>
  <c r="AS35"/>
  <c r="AO35"/>
  <c r="AM35"/>
  <c r="AL35"/>
  <c r="AK35"/>
  <c r="N35"/>
  <c r="M35"/>
  <c r="AV34"/>
  <c r="AV33"/>
  <c r="AV32"/>
  <c r="AV31"/>
  <c r="AV30"/>
  <c r="AT30"/>
  <c r="AT29"/>
  <c r="AU29" s="1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T24"/>
  <c r="AU24" s="1"/>
  <c r="AS24"/>
  <c r="AO24"/>
  <c r="AM24"/>
  <c r="AM89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S89" s="1"/>
  <c r="AL17"/>
  <c r="AL89" s="1"/>
  <c r="AK17"/>
  <c r="AK89" s="1"/>
  <c r="N17"/>
  <c r="N89" s="1"/>
  <c r="M17"/>
  <c r="AV31" i="62"/>
  <c r="AT29"/>
  <c r="AT78"/>
  <c r="AT53"/>
  <c r="AT52"/>
  <c r="AT51"/>
  <c r="AV30"/>
  <c r="AT30"/>
  <c r="AT24"/>
  <c r="AT42"/>
  <c r="AT43"/>
  <c r="AT48"/>
  <c r="AT47"/>
  <c r="AK105" i="86" l="1"/>
  <c r="AK100" i="85"/>
  <c r="AK100" i="84"/>
  <c r="AK100" i="81"/>
  <c r="AK94" i="78"/>
  <c r="N94" i="76"/>
  <c r="AV26"/>
  <c r="AV94" s="1"/>
  <c r="AV47"/>
  <c r="AV59"/>
  <c r="AV60"/>
  <c r="AV63"/>
  <c r="AV64"/>
  <c r="AV65"/>
  <c r="AU71"/>
  <c r="AU72"/>
  <c r="AU94" s="1"/>
  <c r="AE94"/>
  <c r="AT94"/>
  <c r="N94" i="75"/>
  <c r="AM94"/>
  <c r="AO53"/>
  <c r="AO94"/>
  <c r="AV26"/>
  <c r="AV94" s="1"/>
  <c r="AU54"/>
  <c r="AU94" s="1"/>
  <c r="AU73"/>
  <c r="AK94" i="74"/>
  <c r="AS94"/>
  <c r="AO94"/>
  <c r="AV26"/>
  <c r="AV94" s="1"/>
  <c r="AV47"/>
  <c r="AV59"/>
  <c r="AV60"/>
  <c r="AV63"/>
  <c r="AV64"/>
  <c r="AV65"/>
  <c r="AU71"/>
  <c r="AU94" s="1"/>
  <c r="AU72"/>
  <c r="AE94"/>
  <c r="AT94"/>
  <c r="N94" i="73"/>
  <c r="AM94"/>
  <c r="AO53"/>
  <c r="AO94" s="1"/>
  <c r="AV26"/>
  <c r="AV47"/>
  <c r="AV54"/>
  <c r="AU59"/>
  <c r="AU94" s="1"/>
  <c r="AU60"/>
  <c r="AU63"/>
  <c r="AU64"/>
  <c r="AU65"/>
  <c r="AS71"/>
  <c r="AS94" s="1"/>
  <c r="AS72"/>
  <c r="AV73"/>
  <c r="AT94"/>
  <c r="N92" i="72"/>
  <c r="AO52"/>
  <c r="AS92"/>
  <c r="AO92"/>
  <c r="AV26"/>
  <c r="AV92" s="1"/>
  <c r="AV47"/>
  <c r="AV53"/>
  <c r="AU58"/>
  <c r="AU92" s="1"/>
  <c r="AU59"/>
  <c r="AU62"/>
  <c r="AU63"/>
  <c r="AU64"/>
  <c r="AS71"/>
  <c r="AV72"/>
  <c r="AE92"/>
  <c r="AT92"/>
  <c r="AO46" i="71"/>
  <c r="AM92"/>
  <c r="AL92"/>
  <c r="AU72"/>
  <c r="AS92"/>
  <c r="AK20"/>
  <c r="AO20" s="1"/>
  <c r="AU26"/>
  <c r="AU77"/>
  <c r="N92"/>
  <c r="AO52"/>
  <c r="AU47"/>
  <c r="AV53"/>
  <c r="AV54"/>
  <c r="AV58"/>
  <c r="AV59"/>
  <c r="AV62"/>
  <c r="AV63"/>
  <c r="AV64"/>
  <c r="AU70"/>
  <c r="AU71"/>
  <c r="AV90"/>
  <c r="AT92"/>
  <c r="AS90" i="70"/>
  <c r="AK20"/>
  <c r="AO20" s="1"/>
  <c r="AU24"/>
  <c r="AU64"/>
  <c r="N90"/>
  <c r="AU36"/>
  <c r="AO40"/>
  <c r="AU68"/>
  <c r="AM90"/>
  <c r="AU63"/>
  <c r="AU65"/>
  <c r="AU73"/>
  <c r="AO90"/>
  <c r="AV41"/>
  <c r="AV42"/>
  <c r="AV43"/>
  <c r="AV47"/>
  <c r="AV48"/>
  <c r="AV51"/>
  <c r="AV52"/>
  <c r="AV53"/>
  <c r="AU59"/>
  <c r="AU60"/>
  <c r="AV85"/>
  <c r="AT90"/>
  <c r="AK20" i="69"/>
  <c r="AO20" s="1"/>
  <c r="AO90" s="1"/>
  <c r="AU24"/>
  <c r="AU90" s="1"/>
  <c r="AV41"/>
  <c r="AV42"/>
  <c r="AV90" s="1"/>
  <c r="AV43"/>
  <c r="AV47"/>
  <c r="AV48"/>
  <c r="AV51"/>
  <c r="AV52"/>
  <c r="AV53"/>
  <c r="AU59"/>
  <c r="AU60"/>
  <c r="AT90"/>
  <c r="AK90" i="68"/>
  <c r="AO90"/>
  <c r="AS90"/>
  <c r="N90"/>
  <c r="AV41"/>
  <c r="AV42"/>
  <c r="AV43"/>
  <c r="AV47"/>
  <c r="AV48"/>
  <c r="AV51"/>
  <c r="AV52"/>
  <c r="AV53"/>
  <c r="AU59"/>
  <c r="AU90" s="1"/>
  <c r="AU60"/>
  <c r="AV85"/>
  <c r="AT90"/>
  <c r="AU48" i="67"/>
  <c r="AU52"/>
  <c r="AS59"/>
  <c r="N90"/>
  <c r="AU29"/>
  <c r="AU47"/>
  <c r="AU51"/>
  <c r="AU53"/>
  <c r="AS60"/>
  <c r="AS90"/>
  <c r="AO40"/>
  <c r="AK20"/>
  <c r="AO20" s="1"/>
  <c r="AO90" s="1"/>
  <c r="AU24"/>
  <c r="AU36"/>
  <c r="AV41"/>
  <c r="AV42"/>
  <c r="AV43"/>
  <c r="AV63"/>
  <c r="AV64"/>
  <c r="AV65"/>
  <c r="AV68"/>
  <c r="AV73"/>
  <c r="AV85"/>
  <c r="AT90"/>
  <c r="N90" i="66"/>
  <c r="AK90"/>
  <c r="AO90"/>
  <c r="AK20"/>
  <c r="AO20" s="1"/>
  <c r="AU24"/>
  <c r="AU90" s="1"/>
  <c r="AU29"/>
  <c r="AU36"/>
  <c r="AU47"/>
  <c r="AU48"/>
  <c r="AU51"/>
  <c r="AU52"/>
  <c r="AU53"/>
  <c r="AS59"/>
  <c r="AS90" s="1"/>
  <c r="AS60"/>
  <c r="AV63"/>
  <c r="AV90" s="1"/>
  <c r="AV64"/>
  <c r="AV65"/>
  <c r="AV68"/>
  <c r="AV73"/>
  <c r="AV85"/>
  <c r="AT90"/>
  <c r="AO90" i="65"/>
  <c r="AV24"/>
  <c r="AV90" s="1"/>
  <c r="AU41"/>
  <c r="AU90" s="1"/>
  <c r="AU42"/>
  <c r="AU43"/>
  <c r="AV47"/>
  <c r="AV48"/>
  <c r="AV51"/>
  <c r="AV52"/>
  <c r="AV53"/>
  <c r="AU59"/>
  <c r="AU60"/>
  <c r="AV85"/>
  <c r="AO89" i="64"/>
  <c r="AV24"/>
  <c r="AV89" s="1"/>
  <c r="AV29"/>
  <c r="AV36"/>
  <c r="AV47"/>
  <c r="AV48"/>
  <c r="AV51"/>
  <c r="AV52"/>
  <c r="AV53"/>
  <c r="AU59"/>
  <c r="AU89" s="1"/>
  <c r="AU60"/>
  <c r="AV84"/>
  <c r="AE89"/>
  <c r="AT89"/>
  <c r="AO89" i="63"/>
  <c r="AV24"/>
  <c r="AV89" s="1"/>
  <c r="AV29"/>
  <c r="AV36"/>
  <c r="AV47"/>
  <c r="AV48"/>
  <c r="AV51"/>
  <c r="AV52"/>
  <c r="AV53"/>
  <c r="AU59"/>
  <c r="AU89" s="1"/>
  <c r="AU60"/>
  <c r="AV84"/>
  <c r="AE89"/>
  <c r="AT89"/>
  <c r="AV77" i="62"/>
  <c r="AV81"/>
  <c r="AV72"/>
  <c r="AV36"/>
  <c r="AV37"/>
  <c r="AV34"/>
  <c r="AQ89"/>
  <c r="AP89"/>
  <c r="AN89"/>
  <c r="AJ89"/>
  <c r="AI89"/>
  <c r="AH89"/>
  <c r="AG89"/>
  <c r="AF89"/>
  <c r="AD89"/>
  <c r="AC89"/>
  <c r="AB89"/>
  <c r="T89"/>
  <c r="R89"/>
  <c r="P89"/>
  <c r="K89"/>
  <c r="AV87"/>
  <c r="AU87"/>
  <c r="AS87"/>
  <c r="AK87"/>
  <c r="AO87" s="1"/>
  <c r="M87"/>
  <c r="N87" s="1"/>
  <c r="AV86"/>
  <c r="AU86"/>
  <c r="AS86"/>
  <c r="AK86"/>
  <c r="AO86" s="1"/>
  <c r="M86"/>
  <c r="N86" s="1"/>
  <c r="AV85"/>
  <c r="AU85"/>
  <c r="AS85"/>
  <c r="AO85"/>
  <c r="AK85"/>
  <c r="N85"/>
  <c r="M85"/>
  <c r="AT84"/>
  <c r="AU84" s="1"/>
  <c r="AS84"/>
  <c r="AO84"/>
  <c r="AK84"/>
  <c r="N84"/>
  <c r="M84"/>
  <c r="AV83"/>
  <c r="AU83"/>
  <c r="AS83"/>
  <c r="AK83"/>
  <c r="AO83" s="1"/>
  <c r="M83"/>
  <c r="N83" s="1"/>
  <c r="AV82"/>
  <c r="AU82"/>
  <c r="AS82"/>
  <c r="AO82"/>
  <c r="AK82"/>
  <c r="N82"/>
  <c r="M82"/>
  <c r="AV80"/>
  <c r="AV79"/>
  <c r="AV78"/>
  <c r="AV76"/>
  <c r="AV75"/>
  <c r="AV74"/>
  <c r="AT73"/>
  <c r="AU73" s="1"/>
  <c r="AS73"/>
  <c r="AO73"/>
  <c r="AK73"/>
  <c r="N73"/>
  <c r="M73"/>
  <c r="AV71"/>
  <c r="AV70"/>
  <c r="AV69"/>
  <c r="AT68"/>
  <c r="AV68" s="1"/>
  <c r="AS68"/>
  <c r="AK68"/>
  <c r="AO68" s="1"/>
  <c r="M68"/>
  <c r="N68" s="1"/>
  <c r="AV67"/>
  <c r="AV66"/>
  <c r="AU66"/>
  <c r="AS66"/>
  <c r="AK66"/>
  <c r="AO66" s="1"/>
  <c r="M66"/>
  <c r="N66" s="1"/>
  <c r="AT65"/>
  <c r="AV65" s="1"/>
  <c r="AS65"/>
  <c r="AK65"/>
  <c r="AO65" s="1"/>
  <c r="M65"/>
  <c r="N65" s="1"/>
  <c r="AU64"/>
  <c r="AT64"/>
  <c r="AV64" s="1"/>
  <c r="AS64"/>
  <c r="AK64"/>
  <c r="AO64" s="1"/>
  <c r="M64"/>
  <c r="N64" s="1"/>
  <c r="AT63"/>
  <c r="AV63" s="1"/>
  <c r="AS63"/>
  <c r="AK63"/>
  <c r="AO63" s="1"/>
  <c r="M63"/>
  <c r="N63" s="1"/>
  <c r="AV62"/>
  <c r="AU62"/>
  <c r="AS62"/>
  <c r="AK62"/>
  <c r="AO62" s="1"/>
  <c r="M62"/>
  <c r="N62" s="1"/>
  <c r="AV61"/>
  <c r="AU61"/>
  <c r="AS61"/>
  <c r="AK61"/>
  <c r="AO61" s="1"/>
  <c r="M61"/>
  <c r="N61" s="1"/>
  <c r="AV60"/>
  <c r="AR60"/>
  <c r="AS60" s="1"/>
  <c r="AK60"/>
  <c r="AO60" s="1"/>
  <c r="M60"/>
  <c r="N60" s="1"/>
  <c r="AV59"/>
  <c r="AR59"/>
  <c r="AS59" s="1"/>
  <c r="AK59"/>
  <c r="AO59" s="1"/>
  <c r="M59"/>
  <c r="N59" s="1"/>
  <c r="AV58"/>
  <c r="AU58"/>
  <c r="AS58"/>
  <c r="AL58"/>
  <c r="AK58"/>
  <c r="AO58" s="1"/>
  <c r="M58"/>
  <c r="N58" s="1"/>
  <c r="AV57"/>
  <c r="AV56"/>
  <c r="AU56"/>
  <c r="AS56"/>
  <c r="AK56"/>
  <c r="M56"/>
  <c r="N56" s="1"/>
  <c r="AV55"/>
  <c r="AU55"/>
  <c r="AS55"/>
  <c r="AK55"/>
  <c r="AO55" s="1"/>
  <c r="M55"/>
  <c r="N55" s="1"/>
  <c r="AV54"/>
  <c r="AU54"/>
  <c r="AS54"/>
  <c r="AK54"/>
  <c r="AO54" s="1"/>
  <c r="M54"/>
  <c r="N54" s="1"/>
  <c r="AV53"/>
  <c r="AU53"/>
  <c r="AS53"/>
  <c r="AK53"/>
  <c r="AO53" s="1"/>
  <c r="M53"/>
  <c r="N53" s="1"/>
  <c r="AV52"/>
  <c r="AU52"/>
  <c r="AS52"/>
  <c r="AK52"/>
  <c r="AO52" s="1"/>
  <c r="M52"/>
  <c r="N52" s="1"/>
  <c r="AV51"/>
  <c r="AU51"/>
  <c r="AS51"/>
  <c r="AK51"/>
  <c r="AO51" s="1"/>
  <c r="M51"/>
  <c r="N51" s="1"/>
  <c r="AV50"/>
  <c r="AU50"/>
  <c r="AS50"/>
  <c r="AK50"/>
  <c r="AO50" s="1"/>
  <c r="M50"/>
  <c r="N50" s="1"/>
  <c r="AV49"/>
  <c r="AU49"/>
  <c r="AS49"/>
  <c r="AK49"/>
  <c r="AO49" s="1"/>
  <c r="M49"/>
  <c r="N49" s="1"/>
  <c r="AV48"/>
  <c r="AU48"/>
  <c r="AS48"/>
  <c r="AK48"/>
  <c r="AO48" s="1"/>
  <c r="M48"/>
  <c r="N48" s="1"/>
  <c r="AV47"/>
  <c r="AU47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V44"/>
  <c r="AU44"/>
  <c r="AS44"/>
  <c r="AK44"/>
  <c r="AO44" s="1"/>
  <c r="M44"/>
  <c r="N44" s="1"/>
  <c r="AU43"/>
  <c r="AS43"/>
  <c r="AK43"/>
  <c r="AO43" s="1"/>
  <c r="M43"/>
  <c r="N43" s="1"/>
  <c r="AU42"/>
  <c r="AS42"/>
  <c r="AK42"/>
  <c r="AO42" s="1"/>
  <c r="M42"/>
  <c r="N42" s="1"/>
  <c r="AT41"/>
  <c r="AU41" s="1"/>
  <c r="AS41"/>
  <c r="AK41"/>
  <c r="AO41" s="1"/>
  <c r="M41"/>
  <c r="N41" s="1"/>
  <c r="AV40"/>
  <c r="AU40"/>
  <c r="AS40"/>
  <c r="AL40"/>
  <c r="AM40" s="1"/>
  <c r="AK40"/>
  <c r="M40"/>
  <c r="N40" s="1"/>
  <c r="AV39"/>
  <c r="AU39"/>
  <c r="AS39"/>
  <c r="AK39"/>
  <c r="AO39" s="1"/>
  <c r="M39"/>
  <c r="N39" s="1"/>
  <c r="AT36"/>
  <c r="AU36" s="1"/>
  <c r="AS36"/>
  <c r="AK36"/>
  <c r="M36"/>
  <c r="N36" s="1"/>
  <c r="AV35"/>
  <c r="AU35"/>
  <c r="AS35"/>
  <c r="AM35"/>
  <c r="AL35"/>
  <c r="AK35"/>
  <c r="AO35" s="1"/>
  <c r="M35"/>
  <c r="N35" s="1"/>
  <c r="AV33"/>
  <c r="AV32"/>
  <c r="AU29"/>
  <c r="AS29"/>
  <c r="AM29"/>
  <c r="AL29"/>
  <c r="AK29"/>
  <c r="AO29" s="1"/>
  <c r="M29"/>
  <c r="N29" s="1"/>
  <c r="AV28"/>
  <c r="AV27"/>
  <c r="AU27"/>
  <c r="AS27"/>
  <c r="AK27"/>
  <c r="AO27" s="1"/>
  <c r="M27"/>
  <c r="N27" s="1"/>
  <c r="AV26"/>
  <c r="AV25"/>
  <c r="AU25"/>
  <c r="AS25"/>
  <c r="AK25"/>
  <c r="AO25" s="1"/>
  <c r="M25"/>
  <c r="N25" s="1"/>
  <c r="AU24"/>
  <c r="AS24"/>
  <c r="AO24"/>
  <c r="AM24"/>
  <c r="AL24"/>
  <c r="AK24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L17"/>
  <c r="AL89" s="1"/>
  <c r="AK17"/>
  <c r="M17"/>
  <c r="N17" s="1"/>
  <c r="AV75" i="61"/>
  <c r="AV76"/>
  <c r="AQ84"/>
  <c r="AP84"/>
  <c r="AN84"/>
  <c r="AJ84"/>
  <c r="AI84"/>
  <c r="AH84"/>
  <c r="AG84"/>
  <c r="AF84"/>
  <c r="AD84"/>
  <c r="AC84"/>
  <c r="AB84"/>
  <c r="T84"/>
  <c r="R84"/>
  <c r="P84"/>
  <c r="K84"/>
  <c r="AV82"/>
  <c r="AU82"/>
  <c r="AS82"/>
  <c r="AK82"/>
  <c r="AO82" s="1"/>
  <c r="M82"/>
  <c r="N82" s="1"/>
  <c r="AV81"/>
  <c r="AU81"/>
  <c r="AS81"/>
  <c r="AK81"/>
  <c r="AO81" s="1"/>
  <c r="N81"/>
  <c r="M81"/>
  <c r="AV80"/>
  <c r="AU80"/>
  <c r="AS80"/>
  <c r="AK80"/>
  <c r="AO80" s="1"/>
  <c r="M80"/>
  <c r="N80" s="1"/>
  <c r="AT79"/>
  <c r="AV79" s="1"/>
  <c r="AS79"/>
  <c r="AK79"/>
  <c r="AO79" s="1"/>
  <c r="M79"/>
  <c r="N79" s="1"/>
  <c r="AV78"/>
  <c r="AU78"/>
  <c r="AS78"/>
  <c r="AK78"/>
  <c r="AO78" s="1"/>
  <c r="N78"/>
  <c r="M78"/>
  <c r="AV77"/>
  <c r="AU77"/>
  <c r="AS77"/>
  <c r="AK77"/>
  <c r="AO77" s="1"/>
  <c r="M77"/>
  <c r="N77" s="1"/>
  <c r="AV74"/>
  <c r="AV73"/>
  <c r="AV72"/>
  <c r="AV71"/>
  <c r="AT70"/>
  <c r="AV70" s="1"/>
  <c r="AS70"/>
  <c r="AK70"/>
  <c r="AO70" s="1"/>
  <c r="M70"/>
  <c r="N70" s="1"/>
  <c r="AV69"/>
  <c r="AV68"/>
  <c r="AV67"/>
  <c r="AT66"/>
  <c r="AV66" s="1"/>
  <c r="AS66"/>
  <c r="AK66"/>
  <c r="AO66" s="1"/>
  <c r="M66"/>
  <c r="N66" s="1"/>
  <c r="AV65"/>
  <c r="AV64"/>
  <c r="AU64"/>
  <c r="AS64"/>
  <c r="AK64"/>
  <c r="AO64" s="1"/>
  <c r="M64"/>
  <c r="N64" s="1"/>
  <c r="AU63"/>
  <c r="AT63"/>
  <c r="AV63" s="1"/>
  <c r="AS63"/>
  <c r="AK63"/>
  <c r="AO63" s="1"/>
  <c r="M63"/>
  <c r="N63" s="1"/>
  <c r="AT62"/>
  <c r="AV62" s="1"/>
  <c r="AS62"/>
  <c r="AK62"/>
  <c r="AO62" s="1"/>
  <c r="M62"/>
  <c r="N62" s="1"/>
  <c r="AU61"/>
  <c r="AT61"/>
  <c r="AV61" s="1"/>
  <c r="AS61"/>
  <c r="AK61"/>
  <c r="AO61" s="1"/>
  <c r="M61"/>
  <c r="N61" s="1"/>
  <c r="AV60"/>
  <c r="AU60"/>
  <c r="AS60"/>
  <c r="AK60"/>
  <c r="AO60" s="1"/>
  <c r="N60"/>
  <c r="M60"/>
  <c r="AV59"/>
  <c r="AU59"/>
  <c r="AS59"/>
  <c r="AK59"/>
  <c r="AO59" s="1"/>
  <c r="M59"/>
  <c r="N59" s="1"/>
  <c r="AV58"/>
  <c r="AR58"/>
  <c r="AU58" s="1"/>
  <c r="AK58"/>
  <c r="AO58" s="1"/>
  <c r="M58"/>
  <c r="N58" s="1"/>
  <c r="AV57"/>
  <c r="AR57"/>
  <c r="AU57" s="1"/>
  <c r="AK57"/>
  <c r="AO57" s="1"/>
  <c r="M57"/>
  <c r="N57" s="1"/>
  <c r="AV56"/>
  <c r="AU56"/>
  <c r="AS56"/>
  <c r="AL56"/>
  <c r="AK56"/>
  <c r="AO56" s="1"/>
  <c r="M56"/>
  <c r="N56" s="1"/>
  <c r="AV55"/>
  <c r="AV54"/>
  <c r="AU54"/>
  <c r="AS54"/>
  <c r="AK54"/>
  <c r="N54"/>
  <c r="M54"/>
  <c r="AV53"/>
  <c r="AU53"/>
  <c r="AS53"/>
  <c r="AK53"/>
  <c r="AO53" s="1"/>
  <c r="M53"/>
  <c r="N53" s="1"/>
  <c r="AV52"/>
  <c r="AU52"/>
  <c r="AS52"/>
  <c r="AK52"/>
  <c r="AO52" s="1"/>
  <c r="N52"/>
  <c r="M52"/>
  <c r="AV51"/>
  <c r="AU51"/>
  <c r="AS51"/>
  <c r="AK51"/>
  <c r="AO51" s="1"/>
  <c r="M51"/>
  <c r="N51" s="1"/>
  <c r="AV50"/>
  <c r="AU50"/>
  <c r="AS50"/>
  <c r="AK50"/>
  <c r="AO50" s="1"/>
  <c r="N50"/>
  <c r="M50"/>
  <c r="AV49"/>
  <c r="AU49"/>
  <c r="AS49"/>
  <c r="AK49"/>
  <c r="AO49" s="1"/>
  <c r="M49"/>
  <c r="N49" s="1"/>
  <c r="AV48"/>
  <c r="AU48"/>
  <c r="AS48"/>
  <c r="AK48"/>
  <c r="AO48" s="1"/>
  <c r="N48"/>
  <c r="M48"/>
  <c r="AV47"/>
  <c r="AU47"/>
  <c r="AS47"/>
  <c r="AK47"/>
  <c r="AO47" s="1"/>
  <c r="M47"/>
  <c r="N47" s="1"/>
  <c r="AV46"/>
  <c r="AU46"/>
  <c r="AS46"/>
  <c r="AK46"/>
  <c r="AO46" s="1"/>
  <c r="N46"/>
  <c r="M46"/>
  <c r="AV45"/>
  <c r="AU45"/>
  <c r="AS45"/>
  <c r="AK45"/>
  <c r="AO45" s="1"/>
  <c r="M45"/>
  <c r="N45" s="1"/>
  <c r="AV44"/>
  <c r="AU44"/>
  <c r="AS44"/>
  <c r="AK44"/>
  <c r="AO44" s="1"/>
  <c r="M44"/>
  <c r="N44" s="1"/>
  <c r="AV43"/>
  <c r="AU43"/>
  <c r="AS43"/>
  <c r="AK43"/>
  <c r="AO43" s="1"/>
  <c r="M43"/>
  <c r="N43" s="1"/>
  <c r="AV42"/>
  <c r="AU42"/>
  <c r="AS42"/>
  <c r="AK42"/>
  <c r="AO42" s="1"/>
  <c r="M42"/>
  <c r="N42" s="1"/>
  <c r="AT41"/>
  <c r="AV41" s="1"/>
  <c r="AS41"/>
  <c r="AK41"/>
  <c r="AO41" s="1"/>
  <c r="N41"/>
  <c r="M41"/>
  <c r="AT40"/>
  <c r="AV40" s="1"/>
  <c r="AS40"/>
  <c r="AK40"/>
  <c r="AO40" s="1"/>
  <c r="N40"/>
  <c r="M40"/>
  <c r="AT39"/>
  <c r="AV39" s="1"/>
  <c r="AS39"/>
  <c r="AK39"/>
  <c r="AO39" s="1"/>
  <c r="N39"/>
  <c r="M39"/>
  <c r="AV38"/>
  <c r="AU38"/>
  <c r="AS38"/>
  <c r="AL38"/>
  <c r="AM38" s="1"/>
  <c r="AK38"/>
  <c r="M38"/>
  <c r="N38" s="1"/>
  <c r="AV37"/>
  <c r="AU37"/>
  <c r="AS37"/>
  <c r="AK37"/>
  <c r="AO37" s="1"/>
  <c r="N37"/>
  <c r="M37"/>
  <c r="AT35"/>
  <c r="AV35" s="1"/>
  <c r="AS35"/>
  <c r="AK35"/>
  <c r="M35"/>
  <c r="N35" s="1"/>
  <c r="AV34"/>
  <c r="AU34"/>
  <c r="AS34"/>
  <c r="AO34"/>
  <c r="AM34"/>
  <c r="AL34"/>
  <c r="AK34"/>
  <c r="N34"/>
  <c r="M34"/>
  <c r="AV33"/>
  <c r="AV32"/>
  <c r="AV31"/>
  <c r="AT31"/>
  <c r="AT29"/>
  <c r="AV29" s="1"/>
  <c r="AS29"/>
  <c r="AM29"/>
  <c r="AL29"/>
  <c r="AK29"/>
  <c r="AO29" s="1"/>
  <c r="N29"/>
  <c r="M29"/>
  <c r="AV28"/>
  <c r="AV27"/>
  <c r="AU27"/>
  <c r="AS27"/>
  <c r="AK27"/>
  <c r="AO27" s="1"/>
  <c r="N27"/>
  <c r="M27"/>
  <c r="AV26"/>
  <c r="AV25"/>
  <c r="AU25"/>
  <c r="AS25"/>
  <c r="AK25"/>
  <c r="AO25" s="1"/>
  <c r="N25"/>
  <c r="M25"/>
  <c r="AT24"/>
  <c r="AV24" s="1"/>
  <c r="AS24"/>
  <c r="AO24"/>
  <c r="AM24"/>
  <c r="AL24"/>
  <c r="AK24"/>
  <c r="N24"/>
  <c r="M24"/>
  <c r="AV23"/>
  <c r="AU23"/>
  <c r="AS23"/>
  <c r="AK23"/>
  <c r="AO23" s="1"/>
  <c r="M23"/>
  <c r="N23" s="1"/>
  <c r="AV22"/>
  <c r="AU22"/>
  <c r="AS22"/>
  <c r="AK22"/>
  <c r="AO22" s="1"/>
  <c r="N22"/>
  <c r="M22"/>
  <c r="AV21"/>
  <c r="AU21"/>
  <c r="AS21"/>
  <c r="AK21"/>
  <c r="AO21" s="1"/>
  <c r="M21"/>
  <c r="N21" s="1"/>
  <c r="AV20"/>
  <c r="AU20"/>
  <c r="AS20"/>
  <c r="AE20"/>
  <c r="AE84" s="1"/>
  <c r="M20"/>
  <c r="N20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K17"/>
  <c r="M17"/>
  <c r="N17" s="1"/>
  <c r="AQ86" i="60"/>
  <c r="AP86"/>
  <c r="AN86"/>
  <c r="AJ86"/>
  <c r="AI86"/>
  <c r="AH86"/>
  <c r="AG86"/>
  <c r="AF86"/>
  <c r="AD86"/>
  <c r="AC86"/>
  <c r="AB86"/>
  <c r="T86"/>
  <c r="R86"/>
  <c r="P86"/>
  <c r="K86"/>
  <c r="AV84"/>
  <c r="AU84"/>
  <c r="AS84"/>
  <c r="AO84"/>
  <c r="AK84"/>
  <c r="N84"/>
  <c r="M84"/>
  <c r="AV83"/>
  <c r="AU83"/>
  <c r="AS83"/>
  <c r="AK83"/>
  <c r="AO83" s="1"/>
  <c r="M83"/>
  <c r="N83" s="1"/>
  <c r="AV82"/>
  <c r="AU82"/>
  <c r="AS82"/>
  <c r="AO82"/>
  <c r="AK82"/>
  <c r="N82"/>
  <c r="M82"/>
  <c r="AT81"/>
  <c r="AU81" s="1"/>
  <c r="AS81"/>
  <c r="AO81"/>
  <c r="AK81"/>
  <c r="N81"/>
  <c r="M81"/>
  <c r="AV80"/>
  <c r="AU80"/>
  <c r="AS80"/>
  <c r="AK80"/>
  <c r="AO80" s="1"/>
  <c r="M80"/>
  <c r="N80" s="1"/>
  <c r="AV79"/>
  <c r="AU79"/>
  <c r="AS79"/>
  <c r="AO79"/>
  <c r="AK79"/>
  <c r="N79"/>
  <c r="M79"/>
  <c r="AV78"/>
  <c r="AT77"/>
  <c r="AV77" s="1"/>
  <c r="AU76"/>
  <c r="AT76"/>
  <c r="AV76" s="1"/>
  <c r="AS76"/>
  <c r="AK76"/>
  <c r="N76"/>
  <c r="M76"/>
  <c r="AT75"/>
  <c r="AU75" s="1"/>
  <c r="AS75"/>
  <c r="AO75"/>
  <c r="AK75"/>
  <c r="N75"/>
  <c r="M75"/>
  <c r="AT74"/>
  <c r="AU74" s="1"/>
  <c r="AS74"/>
  <c r="AL74"/>
  <c r="AM74" s="1"/>
  <c r="AO74" s="1"/>
  <c r="AK74"/>
  <c r="N74"/>
  <c r="M74"/>
  <c r="AV73"/>
  <c r="AV72"/>
  <c r="AV71"/>
  <c r="AU70"/>
  <c r="AT70"/>
  <c r="AV70" s="1"/>
  <c r="AS70"/>
  <c r="AK70"/>
  <c r="AO70" s="1"/>
  <c r="M70"/>
  <c r="N70" s="1"/>
  <c r="AV69"/>
  <c r="AV68"/>
  <c r="AV67"/>
  <c r="AT66"/>
  <c r="AU66" s="1"/>
  <c r="AS66"/>
  <c r="AO66"/>
  <c r="AK66"/>
  <c r="N66"/>
  <c r="M66"/>
  <c r="AV65"/>
  <c r="AV64"/>
  <c r="AU64"/>
  <c r="AS64"/>
  <c r="AO64"/>
  <c r="AK64"/>
  <c r="N64"/>
  <c r="M64"/>
  <c r="AT63"/>
  <c r="AU63" s="1"/>
  <c r="AS63"/>
  <c r="AO63"/>
  <c r="AK63"/>
  <c r="N63"/>
  <c r="M63"/>
  <c r="AT62"/>
  <c r="AU62" s="1"/>
  <c r="AS62"/>
  <c r="AO62"/>
  <c r="AK62"/>
  <c r="N62"/>
  <c r="M62"/>
  <c r="AT61"/>
  <c r="AU61" s="1"/>
  <c r="AS61"/>
  <c r="AO61"/>
  <c r="AK61"/>
  <c r="M61"/>
  <c r="N61" s="1"/>
  <c r="AV60"/>
  <c r="AU60"/>
  <c r="AS60"/>
  <c r="AK60"/>
  <c r="AO60" s="1"/>
  <c r="M60"/>
  <c r="N60" s="1"/>
  <c r="AV59"/>
  <c r="AU59"/>
  <c r="AS59"/>
  <c r="AK59"/>
  <c r="AO59" s="1"/>
  <c r="M59"/>
  <c r="N59" s="1"/>
  <c r="AV58"/>
  <c r="AR58"/>
  <c r="AU58" s="1"/>
  <c r="AK58"/>
  <c r="AO58" s="1"/>
  <c r="M58"/>
  <c r="N58" s="1"/>
  <c r="AV57"/>
  <c r="AR57"/>
  <c r="AU57" s="1"/>
  <c r="AK57"/>
  <c r="AO57" s="1"/>
  <c r="M57"/>
  <c r="N57" s="1"/>
  <c r="AV56"/>
  <c r="AU56"/>
  <c r="AS56"/>
  <c r="AL56"/>
  <c r="AK56"/>
  <c r="AO56" s="1"/>
  <c r="M56"/>
  <c r="N56" s="1"/>
  <c r="AV55"/>
  <c r="AV54"/>
  <c r="AU54"/>
  <c r="AS54"/>
  <c r="AK54"/>
  <c r="N54"/>
  <c r="M54"/>
  <c r="AV53"/>
  <c r="AU53"/>
  <c r="AS53"/>
  <c r="AK53"/>
  <c r="AO53" s="1"/>
  <c r="M53"/>
  <c r="N53" s="1"/>
  <c r="AV52"/>
  <c r="AU52"/>
  <c r="AS52"/>
  <c r="AO52"/>
  <c r="AK52"/>
  <c r="N52"/>
  <c r="M52"/>
  <c r="AV51"/>
  <c r="AU51"/>
  <c r="AS51"/>
  <c r="AK51"/>
  <c r="AO51" s="1"/>
  <c r="M51"/>
  <c r="N51" s="1"/>
  <c r="AV50"/>
  <c r="AU50"/>
  <c r="AS50"/>
  <c r="AO50"/>
  <c r="AK50"/>
  <c r="N50"/>
  <c r="M50"/>
  <c r="AV49"/>
  <c r="AU49"/>
  <c r="AS49"/>
  <c r="AK49"/>
  <c r="AO49" s="1"/>
  <c r="M49"/>
  <c r="N49" s="1"/>
  <c r="AV48"/>
  <c r="AU48"/>
  <c r="AS48"/>
  <c r="AO48"/>
  <c r="AK48"/>
  <c r="N48"/>
  <c r="M48"/>
  <c r="AV47"/>
  <c r="AU47"/>
  <c r="AS47"/>
  <c r="AK47"/>
  <c r="AO47" s="1"/>
  <c r="M47"/>
  <c r="N47" s="1"/>
  <c r="AV46"/>
  <c r="AU46"/>
  <c r="AS46"/>
  <c r="AO46"/>
  <c r="AK46"/>
  <c r="N46"/>
  <c r="M46"/>
  <c r="AV45"/>
  <c r="AU45"/>
  <c r="AS45"/>
  <c r="AK45"/>
  <c r="AO45" s="1"/>
  <c r="M45"/>
  <c r="N45" s="1"/>
  <c r="AV44"/>
  <c r="AU44"/>
  <c r="AS44"/>
  <c r="AO44"/>
  <c r="AK44"/>
  <c r="N44"/>
  <c r="M44"/>
  <c r="AV43"/>
  <c r="AU43"/>
  <c r="AS43"/>
  <c r="AK43"/>
  <c r="AO43" s="1"/>
  <c r="M43"/>
  <c r="N43" s="1"/>
  <c r="AV42"/>
  <c r="AU42"/>
  <c r="AS42"/>
  <c r="AO42"/>
  <c r="AK42"/>
  <c r="N42"/>
  <c r="M42"/>
  <c r="AT41"/>
  <c r="AV41" s="1"/>
  <c r="AS41"/>
  <c r="AO41"/>
  <c r="AK41"/>
  <c r="N41"/>
  <c r="M41"/>
  <c r="AT40"/>
  <c r="AV40" s="1"/>
  <c r="AS40"/>
  <c r="AO40"/>
  <c r="AK40"/>
  <c r="N40"/>
  <c r="M40"/>
  <c r="AT39"/>
  <c r="AV39" s="1"/>
  <c r="AS39"/>
  <c r="AO39"/>
  <c r="AK39"/>
  <c r="N39"/>
  <c r="M39"/>
  <c r="AV38"/>
  <c r="AU38"/>
  <c r="AS38"/>
  <c r="AM38"/>
  <c r="AL38"/>
  <c r="AK38"/>
  <c r="AO38" s="1"/>
  <c r="M38"/>
  <c r="N38" s="1"/>
  <c r="AV37"/>
  <c r="AU37"/>
  <c r="AS37"/>
  <c r="AO37"/>
  <c r="AK37"/>
  <c r="N37"/>
  <c r="M37"/>
  <c r="AT35"/>
  <c r="AV35" s="1"/>
  <c r="AS35"/>
  <c r="AK35"/>
  <c r="M35"/>
  <c r="N35" s="1"/>
  <c r="AV34"/>
  <c r="AU34"/>
  <c r="AS34"/>
  <c r="AO34"/>
  <c r="AM34"/>
  <c r="AL34"/>
  <c r="AK34"/>
  <c r="N34"/>
  <c r="M34"/>
  <c r="AV33"/>
  <c r="AV32"/>
  <c r="AV31"/>
  <c r="AT31"/>
  <c r="AT29"/>
  <c r="AV29" s="1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T24"/>
  <c r="AV24" s="1"/>
  <c r="AS24"/>
  <c r="AO24"/>
  <c r="AM24"/>
  <c r="AM86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E86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L17"/>
  <c r="AL86" s="1"/>
  <c r="AK17"/>
  <c r="N17"/>
  <c r="N86" s="1"/>
  <c r="M17"/>
  <c r="AQ86" i="59"/>
  <c r="AP86"/>
  <c r="AN86"/>
  <c r="AJ86"/>
  <c r="AI86"/>
  <c r="AH86"/>
  <c r="AG86"/>
  <c r="AF86"/>
  <c r="AD86"/>
  <c r="AC86"/>
  <c r="AB86"/>
  <c r="T86"/>
  <c r="R86"/>
  <c r="P86"/>
  <c r="K86"/>
  <c r="AV84"/>
  <c r="AU84"/>
  <c r="AS84"/>
  <c r="AK84"/>
  <c r="AO84" s="1"/>
  <c r="M84"/>
  <c r="N84" s="1"/>
  <c r="AV83"/>
  <c r="AU83"/>
  <c r="AS83"/>
  <c r="AO83"/>
  <c r="AK83"/>
  <c r="N83"/>
  <c r="M83"/>
  <c r="AV82"/>
  <c r="AU82"/>
  <c r="AS82"/>
  <c r="AK82"/>
  <c r="AO82" s="1"/>
  <c r="M82"/>
  <c r="N82" s="1"/>
  <c r="AU81"/>
  <c r="AT81"/>
  <c r="AV81" s="1"/>
  <c r="AS81"/>
  <c r="AK81"/>
  <c r="AO81" s="1"/>
  <c r="M81"/>
  <c r="N81" s="1"/>
  <c r="AV80"/>
  <c r="AU80"/>
  <c r="AS80"/>
  <c r="AO80"/>
  <c r="AK80"/>
  <c r="N80"/>
  <c r="M80"/>
  <c r="AV79"/>
  <c r="AU79"/>
  <c r="AS79"/>
  <c r="AK79"/>
  <c r="AO79" s="1"/>
  <c r="M79"/>
  <c r="N79" s="1"/>
  <c r="AV78"/>
  <c r="AV77"/>
  <c r="AT77"/>
  <c r="AV76"/>
  <c r="AT76"/>
  <c r="AU76" s="1"/>
  <c r="AS76"/>
  <c r="AK76"/>
  <c r="M76"/>
  <c r="N76" s="1"/>
  <c r="AU75"/>
  <c r="AT75"/>
  <c r="AV75" s="1"/>
  <c r="AS75"/>
  <c r="AK75"/>
  <c r="AO75" s="1"/>
  <c r="M75"/>
  <c r="N75" s="1"/>
  <c r="AU74"/>
  <c r="AT74"/>
  <c r="AV74" s="1"/>
  <c r="AS74"/>
  <c r="AM74"/>
  <c r="AL74"/>
  <c r="AK74"/>
  <c r="AO74" s="1"/>
  <c r="M74"/>
  <c r="N74" s="1"/>
  <c r="AV73"/>
  <c r="AV72"/>
  <c r="AV71"/>
  <c r="AT70"/>
  <c r="AV70" s="1"/>
  <c r="AS70"/>
  <c r="AO70"/>
  <c r="AK70"/>
  <c r="N70"/>
  <c r="M70"/>
  <c r="AV69"/>
  <c r="AV68"/>
  <c r="AV67"/>
  <c r="AU66"/>
  <c r="AT66"/>
  <c r="AV66" s="1"/>
  <c r="AS66"/>
  <c r="AK66"/>
  <c r="AO66" s="1"/>
  <c r="M66"/>
  <c r="N66" s="1"/>
  <c r="AV65"/>
  <c r="AV64"/>
  <c r="AU64"/>
  <c r="AS64"/>
  <c r="AK64"/>
  <c r="AO64" s="1"/>
  <c r="M64"/>
  <c r="N64" s="1"/>
  <c r="AU63"/>
  <c r="AT63"/>
  <c r="AV63" s="1"/>
  <c r="AS63"/>
  <c r="AK63"/>
  <c r="AO63" s="1"/>
  <c r="M63"/>
  <c r="N63" s="1"/>
  <c r="AU62"/>
  <c r="AT62"/>
  <c r="AV62" s="1"/>
  <c r="AS62"/>
  <c r="AK62"/>
  <c r="AO62" s="1"/>
  <c r="M62"/>
  <c r="N62" s="1"/>
  <c r="AU61"/>
  <c r="AT61"/>
  <c r="AV61" s="1"/>
  <c r="AS61"/>
  <c r="AK61"/>
  <c r="AO61" s="1"/>
  <c r="M61"/>
  <c r="N61" s="1"/>
  <c r="AV60"/>
  <c r="AU60"/>
  <c r="AS60"/>
  <c r="AO60"/>
  <c r="AK60"/>
  <c r="N60"/>
  <c r="M60"/>
  <c r="AV59"/>
  <c r="AU59"/>
  <c r="AS59"/>
  <c r="AK59"/>
  <c r="AO59" s="1"/>
  <c r="M59"/>
  <c r="N59" s="1"/>
  <c r="AV58"/>
  <c r="AR58"/>
  <c r="AU58" s="1"/>
  <c r="AK58"/>
  <c r="AO58" s="1"/>
  <c r="M58"/>
  <c r="N58" s="1"/>
  <c r="AV57"/>
  <c r="AR57"/>
  <c r="AU57" s="1"/>
  <c r="AK57"/>
  <c r="AO57" s="1"/>
  <c r="M57"/>
  <c r="N57" s="1"/>
  <c r="AV56"/>
  <c r="AU56"/>
  <c r="AS56"/>
  <c r="AL56"/>
  <c r="AK56"/>
  <c r="AO56" s="1"/>
  <c r="M56"/>
  <c r="N56" s="1"/>
  <c r="AV55"/>
  <c r="AV54"/>
  <c r="AU54"/>
  <c r="AS54"/>
  <c r="AK54"/>
  <c r="N54"/>
  <c r="M54"/>
  <c r="AV53"/>
  <c r="AU53"/>
  <c r="AS53"/>
  <c r="AK53"/>
  <c r="AO53" s="1"/>
  <c r="M53"/>
  <c r="N53" s="1"/>
  <c r="AV52"/>
  <c r="AU52"/>
  <c r="AS52"/>
  <c r="AO52"/>
  <c r="AK52"/>
  <c r="N52"/>
  <c r="M52"/>
  <c r="AV51"/>
  <c r="AU51"/>
  <c r="AS51"/>
  <c r="AK51"/>
  <c r="AO51" s="1"/>
  <c r="M51"/>
  <c r="N51" s="1"/>
  <c r="AV50"/>
  <c r="AU50"/>
  <c r="AS50"/>
  <c r="AO50"/>
  <c r="AK50"/>
  <c r="N50"/>
  <c r="M50"/>
  <c r="AV49"/>
  <c r="AU49"/>
  <c r="AS49"/>
  <c r="AK49"/>
  <c r="AO49" s="1"/>
  <c r="M49"/>
  <c r="N49" s="1"/>
  <c r="AV48"/>
  <c r="AU48"/>
  <c r="AS48"/>
  <c r="AO48"/>
  <c r="AK48"/>
  <c r="N48"/>
  <c r="M48"/>
  <c r="AV47"/>
  <c r="AU47"/>
  <c r="AS47"/>
  <c r="AK47"/>
  <c r="AO47" s="1"/>
  <c r="M47"/>
  <c r="N47" s="1"/>
  <c r="AV46"/>
  <c r="AU46"/>
  <c r="AS46"/>
  <c r="AO46"/>
  <c r="AK46"/>
  <c r="N46"/>
  <c r="M46"/>
  <c r="AV45"/>
  <c r="AU45"/>
  <c r="AS45"/>
  <c r="AK45"/>
  <c r="AO45" s="1"/>
  <c r="M45"/>
  <c r="N45" s="1"/>
  <c r="AV44"/>
  <c r="AU44"/>
  <c r="AS44"/>
  <c r="AO44"/>
  <c r="AK44"/>
  <c r="N44"/>
  <c r="M44"/>
  <c r="AV43"/>
  <c r="AU43"/>
  <c r="AS43"/>
  <c r="AK43"/>
  <c r="AO43" s="1"/>
  <c r="M43"/>
  <c r="N43" s="1"/>
  <c r="AV42"/>
  <c r="AU42"/>
  <c r="AS42"/>
  <c r="AO42"/>
  <c r="AK42"/>
  <c r="N42"/>
  <c r="M42"/>
  <c r="AT41"/>
  <c r="AU41" s="1"/>
  <c r="AS41"/>
  <c r="AO41"/>
  <c r="AK41"/>
  <c r="N41"/>
  <c r="M41"/>
  <c r="AT40"/>
  <c r="AU40" s="1"/>
  <c r="AS40"/>
  <c r="AO40"/>
  <c r="AK40"/>
  <c r="N40"/>
  <c r="M40"/>
  <c r="AT39"/>
  <c r="AU39" s="1"/>
  <c r="AS39"/>
  <c r="AO39"/>
  <c r="AK39"/>
  <c r="N39"/>
  <c r="M39"/>
  <c r="AV38"/>
  <c r="AU38"/>
  <c r="AS38"/>
  <c r="AM38"/>
  <c r="AL38"/>
  <c r="AK38"/>
  <c r="AO38" s="1"/>
  <c r="M38"/>
  <c r="N38" s="1"/>
  <c r="AV37"/>
  <c r="AU37"/>
  <c r="AS37"/>
  <c r="AO37"/>
  <c r="AK37"/>
  <c r="N37"/>
  <c r="M37"/>
  <c r="AT35"/>
  <c r="AU35" s="1"/>
  <c r="AS35"/>
  <c r="AK35"/>
  <c r="M35"/>
  <c r="N35" s="1"/>
  <c r="AV34"/>
  <c r="AU34"/>
  <c r="AS34"/>
  <c r="AO34"/>
  <c r="AM34"/>
  <c r="AL34"/>
  <c r="AK34"/>
  <c r="N34"/>
  <c r="M34"/>
  <c r="AV33"/>
  <c r="AV32"/>
  <c r="AV31"/>
  <c r="AT31"/>
  <c r="AT29"/>
  <c r="AU29" s="1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T24"/>
  <c r="AV24" s="1"/>
  <c r="AS24"/>
  <c r="AO24"/>
  <c r="AM24"/>
  <c r="AM86" s="1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E86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L17"/>
  <c r="AL86" s="1"/>
  <c r="AK17"/>
  <c r="N17"/>
  <c r="M17"/>
  <c r="AV78" i="58"/>
  <c r="AV86"/>
  <c r="AT70"/>
  <c r="AT31"/>
  <c r="AV77"/>
  <c r="AT77"/>
  <c r="AT76"/>
  <c r="AT75"/>
  <c r="AT74"/>
  <c r="AT29"/>
  <c r="AV94" i="73" l="1"/>
  <c r="AO92" i="71"/>
  <c r="AU92"/>
  <c r="AK92"/>
  <c r="AV92"/>
  <c r="AK90" i="70"/>
  <c r="AU90"/>
  <c r="AV90"/>
  <c r="AK90" i="69"/>
  <c r="AV90" i="68"/>
  <c r="AU90" i="67"/>
  <c r="AV90"/>
  <c r="AK90"/>
  <c r="AK89" i="62"/>
  <c r="AS89"/>
  <c r="AM89"/>
  <c r="AU63"/>
  <c r="AU65"/>
  <c r="AO40"/>
  <c r="AO89" s="1"/>
  <c r="AU68"/>
  <c r="N89"/>
  <c r="AV24"/>
  <c r="AV29"/>
  <c r="AV41"/>
  <c r="AV42"/>
  <c r="AV43"/>
  <c r="AU59"/>
  <c r="AU60"/>
  <c r="AV73"/>
  <c r="AV84"/>
  <c r="AE89"/>
  <c r="AT89"/>
  <c r="AV84" i="61"/>
  <c r="AO38"/>
  <c r="AU62"/>
  <c r="AU66"/>
  <c r="AU79"/>
  <c r="AL84"/>
  <c r="AM84"/>
  <c r="N84"/>
  <c r="AK20"/>
  <c r="AO20" s="1"/>
  <c r="AU24"/>
  <c r="AU29"/>
  <c r="AU35"/>
  <c r="AU39"/>
  <c r="AU40"/>
  <c r="AU41"/>
  <c r="AS57"/>
  <c r="AS58"/>
  <c r="AU70"/>
  <c r="AT84"/>
  <c r="AK20" i="60"/>
  <c r="AO20" s="1"/>
  <c r="AO86" s="1"/>
  <c r="AU24"/>
  <c r="AU86" s="1"/>
  <c r="AU29"/>
  <c r="AU35"/>
  <c r="AU39"/>
  <c r="AU40"/>
  <c r="AU41"/>
  <c r="AS57"/>
  <c r="AS86" s="1"/>
  <c r="AS58"/>
  <c r="AV61"/>
  <c r="AV62"/>
  <c r="AV86" s="1"/>
  <c r="AV63"/>
  <c r="AV66"/>
  <c r="AV74"/>
  <c r="AV75"/>
  <c r="AV81"/>
  <c r="AT86"/>
  <c r="N86" i="59"/>
  <c r="AV29"/>
  <c r="AV86" s="1"/>
  <c r="AV35"/>
  <c r="AV39"/>
  <c r="AV40"/>
  <c r="AV41"/>
  <c r="AK20"/>
  <c r="AO20" s="1"/>
  <c r="AO86" s="1"/>
  <c r="AU24"/>
  <c r="AU86" s="1"/>
  <c r="AS57"/>
  <c r="AS86" s="1"/>
  <c r="AS58"/>
  <c r="AU70"/>
  <c r="AT86"/>
  <c r="AT63" i="58"/>
  <c r="AV63" s="1"/>
  <c r="AT24"/>
  <c r="AT41"/>
  <c r="AU41" s="1"/>
  <c r="AT40"/>
  <c r="AU40" s="1"/>
  <c r="AT35"/>
  <c r="AQ86"/>
  <c r="AP86"/>
  <c r="AN86"/>
  <c r="AJ86"/>
  <c r="AI86"/>
  <c r="AH86"/>
  <c r="AG86"/>
  <c r="AF86"/>
  <c r="AD86"/>
  <c r="AC86"/>
  <c r="AB86"/>
  <c r="T86"/>
  <c r="R86"/>
  <c r="P86"/>
  <c r="K86"/>
  <c r="AV84"/>
  <c r="AU84"/>
  <c r="AS84"/>
  <c r="AO84"/>
  <c r="AK84"/>
  <c r="N84"/>
  <c r="M84"/>
  <c r="AV83"/>
  <c r="AU83"/>
  <c r="AS83"/>
  <c r="AK83"/>
  <c r="AO83" s="1"/>
  <c r="M83"/>
  <c r="N83" s="1"/>
  <c r="AV82"/>
  <c r="AU82"/>
  <c r="AS82"/>
  <c r="AO82"/>
  <c r="AK82"/>
  <c r="N82"/>
  <c r="M82"/>
  <c r="AT81"/>
  <c r="AU81" s="1"/>
  <c r="AS81"/>
  <c r="AO81"/>
  <c r="AK81"/>
  <c r="N81"/>
  <c r="M81"/>
  <c r="AV80"/>
  <c r="AU80"/>
  <c r="AS80"/>
  <c r="AK80"/>
  <c r="AO80" s="1"/>
  <c r="M80"/>
  <c r="N80" s="1"/>
  <c r="AV79"/>
  <c r="AU79"/>
  <c r="AS79"/>
  <c r="AO79"/>
  <c r="AK79"/>
  <c r="N79"/>
  <c r="M79"/>
  <c r="AV76"/>
  <c r="AU76"/>
  <c r="AS76"/>
  <c r="AK76"/>
  <c r="N76"/>
  <c r="M76"/>
  <c r="AV75"/>
  <c r="AU75"/>
  <c r="AS75"/>
  <c r="AK75"/>
  <c r="AO75" s="1"/>
  <c r="M75"/>
  <c r="N75" s="1"/>
  <c r="AU74"/>
  <c r="AV74"/>
  <c r="AS74"/>
  <c r="AM74"/>
  <c r="AL74"/>
  <c r="AK74"/>
  <c r="AO74" s="1"/>
  <c r="M74"/>
  <c r="N74" s="1"/>
  <c r="AV73"/>
  <c r="AV72"/>
  <c r="AV71"/>
  <c r="AU70"/>
  <c r="AS70"/>
  <c r="AO70"/>
  <c r="AK70"/>
  <c r="N70"/>
  <c r="M70"/>
  <c r="AV69"/>
  <c r="AV68"/>
  <c r="AV67"/>
  <c r="AU66"/>
  <c r="AT66"/>
  <c r="AV66" s="1"/>
  <c r="AS66"/>
  <c r="AK66"/>
  <c r="AO66" s="1"/>
  <c r="M66"/>
  <c r="N66" s="1"/>
  <c r="AV65"/>
  <c r="AV64"/>
  <c r="AU64"/>
  <c r="AS64"/>
  <c r="AK64"/>
  <c r="AO64" s="1"/>
  <c r="M64"/>
  <c r="N64" s="1"/>
  <c r="AU63"/>
  <c r="AS63"/>
  <c r="AK63"/>
  <c r="AO63" s="1"/>
  <c r="M63"/>
  <c r="N63" s="1"/>
  <c r="AU62"/>
  <c r="AT62"/>
  <c r="AV62" s="1"/>
  <c r="AS62"/>
  <c r="AK62"/>
  <c r="AO62" s="1"/>
  <c r="M62"/>
  <c r="N62" s="1"/>
  <c r="AU61"/>
  <c r="AT61"/>
  <c r="AV61" s="1"/>
  <c r="AS61"/>
  <c r="AK61"/>
  <c r="AO61" s="1"/>
  <c r="M61"/>
  <c r="N61" s="1"/>
  <c r="AV60"/>
  <c r="AU60"/>
  <c r="AS60"/>
  <c r="AO60"/>
  <c r="AK60"/>
  <c r="N60"/>
  <c r="M60"/>
  <c r="AV59"/>
  <c r="AU59"/>
  <c r="AS59"/>
  <c r="AK59"/>
  <c r="AO59" s="1"/>
  <c r="M59"/>
  <c r="N59" s="1"/>
  <c r="AV58"/>
  <c r="AR58"/>
  <c r="AS58" s="1"/>
  <c r="AK58"/>
  <c r="AO58" s="1"/>
  <c r="M58"/>
  <c r="N58" s="1"/>
  <c r="AV57"/>
  <c r="AR57"/>
  <c r="AS57" s="1"/>
  <c r="AK57"/>
  <c r="AO57" s="1"/>
  <c r="M57"/>
  <c r="N57" s="1"/>
  <c r="AV56"/>
  <c r="AU56"/>
  <c r="AS56"/>
  <c r="AL56"/>
  <c r="AK56"/>
  <c r="AO56" s="1"/>
  <c r="M56"/>
  <c r="N56" s="1"/>
  <c r="AV55"/>
  <c r="AV54"/>
  <c r="AU54"/>
  <c r="AS54"/>
  <c r="AK54"/>
  <c r="N54"/>
  <c r="M54"/>
  <c r="AV53"/>
  <c r="AU53"/>
  <c r="AS53"/>
  <c r="AK53"/>
  <c r="AO53" s="1"/>
  <c r="M53"/>
  <c r="N53" s="1"/>
  <c r="AV52"/>
  <c r="AU52"/>
  <c r="AS52"/>
  <c r="AO52"/>
  <c r="AK52"/>
  <c r="N52"/>
  <c r="M52"/>
  <c r="AV51"/>
  <c r="AU51"/>
  <c r="AS51"/>
  <c r="AK51"/>
  <c r="AO51" s="1"/>
  <c r="M51"/>
  <c r="N51" s="1"/>
  <c r="AV50"/>
  <c r="AU50"/>
  <c r="AS50"/>
  <c r="AO50"/>
  <c r="AK50"/>
  <c r="N50"/>
  <c r="M50"/>
  <c r="AV49"/>
  <c r="AU49"/>
  <c r="AS49"/>
  <c r="AK49"/>
  <c r="AO49" s="1"/>
  <c r="M49"/>
  <c r="N49" s="1"/>
  <c r="AV48"/>
  <c r="AU48"/>
  <c r="AS48"/>
  <c r="AO48"/>
  <c r="AK48"/>
  <c r="N48"/>
  <c r="M48"/>
  <c r="AV47"/>
  <c r="AU47"/>
  <c r="AS47"/>
  <c r="AK47"/>
  <c r="AO47" s="1"/>
  <c r="M47"/>
  <c r="N47" s="1"/>
  <c r="AV46"/>
  <c r="AU46"/>
  <c r="AS46"/>
  <c r="AO46"/>
  <c r="AK46"/>
  <c r="N46"/>
  <c r="M46"/>
  <c r="AV45"/>
  <c r="AU45"/>
  <c r="AS45"/>
  <c r="AK45"/>
  <c r="AO45" s="1"/>
  <c r="M45"/>
  <c r="N45" s="1"/>
  <c r="AV44"/>
  <c r="AU44"/>
  <c r="AS44"/>
  <c r="AO44"/>
  <c r="AK44"/>
  <c r="N44"/>
  <c r="M44"/>
  <c r="AV43"/>
  <c r="AU43"/>
  <c r="AS43"/>
  <c r="AK43"/>
  <c r="AO43" s="1"/>
  <c r="M43"/>
  <c r="N43" s="1"/>
  <c r="AV42"/>
  <c r="AU42"/>
  <c r="AS42"/>
  <c r="AO42"/>
  <c r="AK42"/>
  <c r="N42"/>
  <c r="M42"/>
  <c r="AV41"/>
  <c r="AS41"/>
  <c r="AK41"/>
  <c r="AO41" s="1"/>
  <c r="M41"/>
  <c r="N41" s="1"/>
  <c r="AV40"/>
  <c r="AS40"/>
  <c r="AO40"/>
  <c r="AK40"/>
  <c r="N40"/>
  <c r="M40"/>
  <c r="AT39"/>
  <c r="AU39" s="1"/>
  <c r="AS39"/>
  <c r="AO39"/>
  <c r="AK39"/>
  <c r="N39"/>
  <c r="M39"/>
  <c r="AV38"/>
  <c r="AU38"/>
  <c r="AS38"/>
  <c r="AM38"/>
  <c r="AM86" s="1"/>
  <c r="AL38"/>
  <c r="AK38"/>
  <c r="AO38" s="1"/>
  <c r="M38"/>
  <c r="N38" s="1"/>
  <c r="AV37"/>
  <c r="AU37"/>
  <c r="AS37"/>
  <c r="AO37"/>
  <c r="AK37"/>
  <c r="N37"/>
  <c r="M37"/>
  <c r="AU35"/>
  <c r="AS35"/>
  <c r="AK35"/>
  <c r="M35"/>
  <c r="N35" s="1"/>
  <c r="AV34"/>
  <c r="AU34"/>
  <c r="AS34"/>
  <c r="AO34"/>
  <c r="AM34"/>
  <c r="AL34"/>
  <c r="AK34"/>
  <c r="N34"/>
  <c r="M34"/>
  <c r="AV33"/>
  <c r="AV32"/>
  <c r="AV31"/>
  <c r="AV29"/>
  <c r="AU29"/>
  <c r="AS29"/>
  <c r="AO29"/>
  <c r="AM29"/>
  <c r="AL29"/>
  <c r="AK29"/>
  <c r="N29"/>
  <c r="M29"/>
  <c r="AV28"/>
  <c r="AV27"/>
  <c r="AU27"/>
  <c r="AS27"/>
  <c r="AO27"/>
  <c r="AK27"/>
  <c r="N27"/>
  <c r="M27"/>
  <c r="AV26"/>
  <c r="AV25"/>
  <c r="AU25"/>
  <c r="AS25"/>
  <c r="AO25"/>
  <c r="AK25"/>
  <c r="N25"/>
  <c r="M25"/>
  <c r="AU24"/>
  <c r="AS24"/>
  <c r="AO24"/>
  <c r="AM24"/>
  <c r="AL24"/>
  <c r="AK24"/>
  <c r="N24"/>
  <c r="M24"/>
  <c r="AV23"/>
  <c r="AU23"/>
  <c r="AS23"/>
  <c r="AK23"/>
  <c r="AO23" s="1"/>
  <c r="M23"/>
  <c r="N23" s="1"/>
  <c r="AV22"/>
  <c r="AU22"/>
  <c r="AS22"/>
  <c r="AO22"/>
  <c r="AK22"/>
  <c r="N22"/>
  <c r="M22"/>
  <c r="AV21"/>
  <c r="AU21"/>
  <c r="AS21"/>
  <c r="AK21"/>
  <c r="AO21" s="1"/>
  <c r="M21"/>
  <c r="N21" s="1"/>
  <c r="AV20"/>
  <c r="AU20"/>
  <c r="AS20"/>
  <c r="AE20"/>
  <c r="AK20" s="1"/>
  <c r="AO20" s="1"/>
  <c r="M20"/>
  <c r="N20" s="1"/>
  <c r="AV19"/>
  <c r="AU19"/>
  <c r="AS19"/>
  <c r="AO19"/>
  <c r="AK19"/>
  <c r="N19"/>
  <c r="M19"/>
  <c r="AV18"/>
  <c r="AU18"/>
  <c r="AS18"/>
  <c r="AK18"/>
  <c r="AO18" s="1"/>
  <c r="M18"/>
  <c r="N18" s="1"/>
  <c r="AV17"/>
  <c r="AU17"/>
  <c r="AS17"/>
  <c r="AL17"/>
  <c r="AL86" s="1"/>
  <c r="AK17"/>
  <c r="AK86" s="1"/>
  <c r="N17"/>
  <c r="N86" s="1"/>
  <c r="M17"/>
  <c r="AV28" i="57"/>
  <c r="AV26"/>
  <c r="AV73"/>
  <c r="AV69"/>
  <c r="AV72"/>
  <c r="AV68"/>
  <c r="AV67"/>
  <c r="AV33"/>
  <c r="AV34"/>
  <c r="AV32"/>
  <c r="AQ86"/>
  <c r="AP86"/>
  <c r="AN86"/>
  <c r="AJ86"/>
  <c r="AI86"/>
  <c r="AH86"/>
  <c r="AG86"/>
  <c r="AF86"/>
  <c r="AD86"/>
  <c r="AC86"/>
  <c r="AB86"/>
  <c r="T86"/>
  <c r="R86"/>
  <c r="P86"/>
  <c r="K86"/>
  <c r="AV20"/>
  <c r="AU20"/>
  <c r="AS20"/>
  <c r="AE20"/>
  <c r="AK20" s="1"/>
  <c r="AO20" s="1"/>
  <c r="M20"/>
  <c r="N20" s="1"/>
  <c r="AV84"/>
  <c r="AU84"/>
  <c r="AS84"/>
  <c r="AK84"/>
  <c r="AO84" s="1"/>
  <c r="M84"/>
  <c r="N84" s="1"/>
  <c r="AV83"/>
  <c r="AU83"/>
  <c r="AS83"/>
  <c r="AK83"/>
  <c r="AO83" s="1"/>
  <c r="M83"/>
  <c r="N83" s="1"/>
  <c r="AV82"/>
  <c r="AU82"/>
  <c r="AS82"/>
  <c r="AK82"/>
  <c r="AO82" s="1"/>
  <c r="M82"/>
  <c r="N82" s="1"/>
  <c r="AT81"/>
  <c r="AU81" s="1"/>
  <c r="AS81"/>
  <c r="AK81"/>
  <c r="AO81" s="1"/>
  <c r="M81"/>
  <c r="N81" s="1"/>
  <c r="AV80"/>
  <c r="AU80"/>
  <c r="AS80"/>
  <c r="AK80"/>
  <c r="AO80" s="1"/>
  <c r="M80"/>
  <c r="N80" s="1"/>
  <c r="AV79"/>
  <c r="AU79"/>
  <c r="AS79"/>
  <c r="AK79"/>
  <c r="AO79" s="1"/>
  <c r="M79"/>
  <c r="N79" s="1"/>
  <c r="AV76"/>
  <c r="AU76"/>
  <c r="AS76"/>
  <c r="AK76"/>
  <c r="M76"/>
  <c r="N76" s="1"/>
  <c r="AV75"/>
  <c r="AU75"/>
  <c r="AS75"/>
  <c r="AK75"/>
  <c r="AO75" s="1"/>
  <c r="M75"/>
  <c r="N75" s="1"/>
  <c r="AT74"/>
  <c r="AV74" s="1"/>
  <c r="AS74"/>
  <c r="AL74"/>
  <c r="AM74" s="1"/>
  <c r="AK74"/>
  <c r="M74"/>
  <c r="N74" s="1"/>
  <c r="AV71"/>
  <c r="AT70"/>
  <c r="AU70" s="1"/>
  <c r="AS70"/>
  <c r="AK70"/>
  <c r="AO70" s="1"/>
  <c r="M70"/>
  <c r="N70" s="1"/>
  <c r="AT66"/>
  <c r="AU66" s="1"/>
  <c r="AS66"/>
  <c r="AK66"/>
  <c r="AO66" s="1"/>
  <c r="M66"/>
  <c r="N66" s="1"/>
  <c r="AV65"/>
  <c r="AV64"/>
  <c r="AU64"/>
  <c r="AS64"/>
  <c r="AK64"/>
  <c r="AO64" s="1"/>
  <c r="M64"/>
  <c r="N64" s="1"/>
  <c r="AT63"/>
  <c r="AU63" s="1"/>
  <c r="AS63"/>
  <c r="AK63"/>
  <c r="AO63" s="1"/>
  <c r="M63"/>
  <c r="N63" s="1"/>
  <c r="AT62"/>
  <c r="AU62" s="1"/>
  <c r="AS62"/>
  <c r="AK62"/>
  <c r="AO62" s="1"/>
  <c r="M62"/>
  <c r="N62" s="1"/>
  <c r="AT61"/>
  <c r="AU61" s="1"/>
  <c r="AS61"/>
  <c r="AK61"/>
  <c r="AO61" s="1"/>
  <c r="M61"/>
  <c r="N61" s="1"/>
  <c r="AV60"/>
  <c r="AU60"/>
  <c r="AS60"/>
  <c r="AK60"/>
  <c r="AO60" s="1"/>
  <c r="M60"/>
  <c r="N60" s="1"/>
  <c r="AV59"/>
  <c r="AU59"/>
  <c r="AS59"/>
  <c r="AK59"/>
  <c r="AO59" s="1"/>
  <c r="M59"/>
  <c r="N59" s="1"/>
  <c r="AV58"/>
  <c r="AR58"/>
  <c r="AU58" s="1"/>
  <c r="AK58"/>
  <c r="AO58" s="1"/>
  <c r="M58"/>
  <c r="N58" s="1"/>
  <c r="AV57"/>
  <c r="AR57"/>
  <c r="AU57" s="1"/>
  <c r="AK57"/>
  <c r="AO57" s="1"/>
  <c r="M57"/>
  <c r="N57" s="1"/>
  <c r="AV56"/>
  <c r="AU56"/>
  <c r="AS56"/>
  <c r="AL56"/>
  <c r="AK56"/>
  <c r="AO56" s="1"/>
  <c r="M56"/>
  <c r="N56" s="1"/>
  <c r="AV55"/>
  <c r="AV54"/>
  <c r="AU54"/>
  <c r="AS54"/>
  <c r="AK54"/>
  <c r="M54"/>
  <c r="N54" s="1"/>
  <c r="AV53"/>
  <c r="AU53"/>
  <c r="AS53"/>
  <c r="AK53"/>
  <c r="AO53" s="1"/>
  <c r="M53"/>
  <c r="N53" s="1"/>
  <c r="AV52"/>
  <c r="AU52"/>
  <c r="AS52"/>
  <c r="AK52"/>
  <c r="AO52" s="1"/>
  <c r="M52"/>
  <c r="N52" s="1"/>
  <c r="AV51"/>
  <c r="AU51"/>
  <c r="AS51"/>
  <c r="AK51"/>
  <c r="AO51" s="1"/>
  <c r="M51"/>
  <c r="N51" s="1"/>
  <c r="AV50"/>
  <c r="AU50"/>
  <c r="AS50"/>
  <c r="AK50"/>
  <c r="AO50" s="1"/>
  <c r="M50"/>
  <c r="N50" s="1"/>
  <c r="AV49"/>
  <c r="AU49"/>
  <c r="AS49"/>
  <c r="AK49"/>
  <c r="AO49" s="1"/>
  <c r="M49"/>
  <c r="N49" s="1"/>
  <c r="AV48"/>
  <c r="AU48"/>
  <c r="AS48"/>
  <c r="AK48"/>
  <c r="AO48" s="1"/>
  <c r="M48"/>
  <c r="N48" s="1"/>
  <c r="AV47"/>
  <c r="AU47"/>
  <c r="AS47"/>
  <c r="AK47"/>
  <c r="AO47" s="1"/>
  <c r="M47"/>
  <c r="N47" s="1"/>
  <c r="AV46"/>
  <c r="AU46"/>
  <c r="AS46"/>
  <c r="AK46"/>
  <c r="AO46" s="1"/>
  <c r="M46"/>
  <c r="N46" s="1"/>
  <c r="AV45"/>
  <c r="AU45"/>
  <c r="AS45"/>
  <c r="AK45"/>
  <c r="AO45" s="1"/>
  <c r="M45"/>
  <c r="N45" s="1"/>
  <c r="AV44"/>
  <c r="AU44"/>
  <c r="AS44"/>
  <c r="AK44"/>
  <c r="AO44" s="1"/>
  <c r="M44"/>
  <c r="N44" s="1"/>
  <c r="AV43"/>
  <c r="AU43"/>
  <c r="AS43"/>
  <c r="AK43"/>
  <c r="AO43" s="1"/>
  <c r="M43"/>
  <c r="N43" s="1"/>
  <c r="AV42"/>
  <c r="AU42"/>
  <c r="AS42"/>
  <c r="AK42"/>
  <c r="AO42" s="1"/>
  <c r="M42"/>
  <c r="N42" s="1"/>
  <c r="AV41"/>
  <c r="AU41"/>
  <c r="AS41"/>
  <c r="AK41"/>
  <c r="AO41" s="1"/>
  <c r="M41"/>
  <c r="N41" s="1"/>
  <c r="AV40"/>
  <c r="AU40"/>
  <c r="AS40"/>
  <c r="AK40"/>
  <c r="AO40" s="1"/>
  <c r="M40"/>
  <c r="N40" s="1"/>
  <c r="AT39"/>
  <c r="AV39" s="1"/>
  <c r="AS39"/>
  <c r="AK39"/>
  <c r="AO39" s="1"/>
  <c r="M39"/>
  <c r="N39" s="1"/>
  <c r="AV38"/>
  <c r="AU38"/>
  <c r="AS38"/>
  <c r="AL38"/>
  <c r="AM38" s="1"/>
  <c r="AK38"/>
  <c r="M38"/>
  <c r="N38" s="1"/>
  <c r="AV37"/>
  <c r="AU37"/>
  <c r="AS37"/>
  <c r="AK37"/>
  <c r="AO37" s="1"/>
  <c r="M37"/>
  <c r="N37" s="1"/>
  <c r="AT35"/>
  <c r="AV35" s="1"/>
  <c r="AS35"/>
  <c r="AK35"/>
  <c r="M35"/>
  <c r="N35" s="1"/>
  <c r="AU34"/>
  <c r="AS34"/>
  <c r="AM34"/>
  <c r="AL34"/>
  <c r="AK34"/>
  <c r="AO34" s="1"/>
  <c r="M34"/>
  <c r="N34" s="1"/>
  <c r="AV31"/>
  <c r="AV29"/>
  <c r="AU29"/>
  <c r="AS29"/>
  <c r="AM29"/>
  <c r="AL29"/>
  <c r="AK29"/>
  <c r="AO29" s="1"/>
  <c r="M29"/>
  <c r="N29" s="1"/>
  <c r="AU27"/>
  <c r="AS27"/>
  <c r="AK27"/>
  <c r="AO27" s="1"/>
  <c r="M27"/>
  <c r="N27" s="1"/>
  <c r="AV25"/>
  <c r="AS25"/>
  <c r="AK25"/>
  <c r="AO25" s="1"/>
  <c r="M25"/>
  <c r="N25" s="1"/>
  <c r="AV21"/>
  <c r="AU21"/>
  <c r="AS21"/>
  <c r="AK21"/>
  <c r="AO21" s="1"/>
  <c r="M21"/>
  <c r="N21" s="1"/>
  <c r="AT24"/>
  <c r="AV24" s="1"/>
  <c r="AS24"/>
  <c r="AO24"/>
  <c r="AM24"/>
  <c r="AL24"/>
  <c r="AK24"/>
  <c r="M24"/>
  <c r="N24" s="1"/>
  <c r="AV23"/>
  <c r="AU23"/>
  <c r="AS23"/>
  <c r="AK23"/>
  <c r="AO23" s="1"/>
  <c r="M23"/>
  <c r="N23" s="1"/>
  <c r="AV22"/>
  <c r="AU22"/>
  <c r="AS22"/>
  <c r="AK22"/>
  <c r="AO22" s="1"/>
  <c r="M22"/>
  <c r="N22" s="1"/>
  <c r="AV19"/>
  <c r="AU19"/>
  <c r="AS19"/>
  <c r="AK19"/>
  <c r="AO19" s="1"/>
  <c r="M19"/>
  <c r="N19" s="1"/>
  <c r="AV18"/>
  <c r="AU18"/>
  <c r="AS18"/>
  <c r="AK18"/>
  <c r="AO18" s="1"/>
  <c r="M18"/>
  <c r="N18" s="1"/>
  <c r="AV17"/>
  <c r="AU17"/>
  <c r="AS17"/>
  <c r="AL17"/>
  <c r="AK17"/>
  <c r="M17"/>
  <c r="N17" s="1"/>
  <c r="AQ99" i="56"/>
  <c r="AP99"/>
  <c r="AN99"/>
  <c r="AI99"/>
  <c r="AH99"/>
  <c r="AG99"/>
  <c r="AF99"/>
  <c r="AD99"/>
  <c r="AC99"/>
  <c r="AB99"/>
  <c r="T99"/>
  <c r="R99"/>
  <c r="P99"/>
  <c r="K99"/>
  <c r="AV98"/>
  <c r="AU98"/>
  <c r="AS98"/>
  <c r="AE98"/>
  <c r="AK98" s="1"/>
  <c r="AO98" s="1"/>
  <c r="N98"/>
  <c r="M98"/>
  <c r="AV96"/>
  <c r="AU96"/>
  <c r="AS96"/>
  <c r="AK96"/>
  <c r="AO96" s="1"/>
  <c r="N96"/>
  <c r="M96"/>
  <c r="AV95"/>
  <c r="AU95"/>
  <c r="AS95"/>
  <c r="AK95"/>
  <c r="AO95" s="1"/>
  <c r="N95"/>
  <c r="M95"/>
  <c r="AV94"/>
  <c r="AU94"/>
  <c r="AS94"/>
  <c r="AK94"/>
  <c r="AO94" s="1"/>
  <c r="N94"/>
  <c r="M94"/>
  <c r="AT93"/>
  <c r="AU93" s="1"/>
  <c r="AS93"/>
  <c r="AK93"/>
  <c r="AO93" s="1"/>
  <c r="M93"/>
  <c r="N93" s="1"/>
  <c r="AV92"/>
  <c r="AU92"/>
  <c r="AS92"/>
  <c r="AK92"/>
  <c r="AO92" s="1"/>
  <c r="M92"/>
  <c r="N92" s="1"/>
  <c r="AV91"/>
  <c r="AU91"/>
  <c r="AS91"/>
  <c r="AK91"/>
  <c r="AO91" s="1"/>
  <c r="M91"/>
  <c r="N91" s="1"/>
  <c r="AV89"/>
  <c r="AU89"/>
  <c r="AS89"/>
  <c r="AK89"/>
  <c r="N89"/>
  <c r="M89"/>
  <c r="AV88"/>
  <c r="AU88"/>
  <c r="AS88"/>
  <c r="AK88"/>
  <c r="AO88" s="1"/>
  <c r="N88"/>
  <c r="M88"/>
  <c r="AT87"/>
  <c r="AU87" s="1"/>
  <c r="AS87"/>
  <c r="AL87"/>
  <c r="AM87" s="1"/>
  <c r="AK87"/>
  <c r="M87"/>
  <c r="N87" s="1"/>
  <c r="AV86"/>
  <c r="AT85"/>
  <c r="AU85" s="1"/>
  <c r="AS85"/>
  <c r="AK85"/>
  <c r="AO85" s="1"/>
  <c r="M85"/>
  <c r="N85" s="1"/>
  <c r="AU84"/>
  <c r="AT84"/>
  <c r="AV84" s="1"/>
  <c r="AS84"/>
  <c r="AK84"/>
  <c r="AO84" s="1"/>
  <c r="N84"/>
  <c r="M84"/>
  <c r="AV83"/>
  <c r="AV82"/>
  <c r="AU82"/>
  <c r="AS82"/>
  <c r="AK82"/>
  <c r="AO82" s="1"/>
  <c r="M82"/>
  <c r="N82" s="1"/>
  <c r="AU81"/>
  <c r="AT81"/>
  <c r="AV81" s="1"/>
  <c r="AS81"/>
  <c r="AK81"/>
  <c r="AO81" s="1"/>
  <c r="N81"/>
  <c r="M81"/>
  <c r="AT80"/>
  <c r="AU80" s="1"/>
  <c r="AS80"/>
  <c r="AK80"/>
  <c r="AO80" s="1"/>
  <c r="M80"/>
  <c r="N80" s="1"/>
  <c r="AU79"/>
  <c r="AT79"/>
  <c r="AV79" s="1"/>
  <c r="AS79"/>
  <c r="AK79"/>
  <c r="AO79" s="1"/>
  <c r="N79"/>
  <c r="M79"/>
  <c r="AV78"/>
  <c r="AU78"/>
  <c r="AS78"/>
  <c r="AK78"/>
  <c r="AO78" s="1"/>
  <c r="N78"/>
  <c r="M78"/>
  <c r="AV77"/>
  <c r="AU77"/>
  <c r="AS77"/>
  <c r="AK77"/>
  <c r="AO77" s="1"/>
  <c r="N77"/>
  <c r="M77"/>
  <c r="AV76"/>
  <c r="AR76"/>
  <c r="AU76" s="1"/>
  <c r="AK76"/>
  <c r="AO76" s="1"/>
  <c r="M76"/>
  <c r="N76" s="1"/>
  <c r="AV75"/>
  <c r="AR75"/>
  <c r="AS75" s="1"/>
  <c r="AK75"/>
  <c r="AO75" s="1"/>
  <c r="M75"/>
  <c r="N75" s="1"/>
  <c r="AV74"/>
  <c r="AU74"/>
  <c r="AS74"/>
  <c r="AL74"/>
  <c r="AK74"/>
  <c r="AO74" s="1"/>
  <c r="M74"/>
  <c r="N74" s="1"/>
  <c r="AV73"/>
  <c r="AV72"/>
  <c r="AU72"/>
  <c r="AS72"/>
  <c r="AK72"/>
  <c r="M72"/>
  <c r="N72" s="1"/>
  <c r="AV71"/>
  <c r="AU71"/>
  <c r="AS71"/>
  <c r="AK71"/>
  <c r="AO71" s="1"/>
  <c r="M71"/>
  <c r="N71" s="1"/>
  <c r="AV70"/>
  <c r="AU70"/>
  <c r="AS70"/>
  <c r="AK70"/>
  <c r="AO70" s="1"/>
  <c r="M70"/>
  <c r="N70" s="1"/>
  <c r="AV69"/>
  <c r="AU69"/>
  <c r="AS69"/>
  <c r="AK69"/>
  <c r="AO69" s="1"/>
  <c r="M69"/>
  <c r="N69" s="1"/>
  <c r="AV68"/>
  <c r="AU68"/>
  <c r="AS68"/>
  <c r="AK68"/>
  <c r="AO68" s="1"/>
  <c r="M68"/>
  <c r="N68" s="1"/>
  <c r="AV67"/>
  <c r="AU67"/>
  <c r="AS67"/>
  <c r="AK67"/>
  <c r="AO67" s="1"/>
  <c r="M67"/>
  <c r="N67" s="1"/>
  <c r="AV66"/>
  <c r="AU66"/>
  <c r="AS66"/>
  <c r="AK66"/>
  <c r="AO66" s="1"/>
  <c r="M66"/>
  <c r="N66" s="1"/>
  <c r="AV65"/>
  <c r="AU65"/>
  <c r="AS65"/>
  <c r="AK65"/>
  <c r="AO65" s="1"/>
  <c r="M65"/>
  <c r="N65" s="1"/>
  <c r="AV64"/>
  <c r="AU64"/>
  <c r="AS64"/>
  <c r="AK64"/>
  <c r="AO64" s="1"/>
  <c r="M64"/>
  <c r="N64" s="1"/>
  <c r="AV63"/>
  <c r="AU63"/>
  <c r="AS63"/>
  <c r="AK63"/>
  <c r="AO63" s="1"/>
  <c r="M63"/>
  <c r="N63" s="1"/>
  <c r="AV62"/>
  <c r="AU62"/>
  <c r="AS62"/>
  <c r="AK62"/>
  <c r="AO62" s="1"/>
  <c r="M62"/>
  <c r="N62" s="1"/>
  <c r="AV61"/>
  <c r="AU61"/>
  <c r="AS61"/>
  <c r="AK61"/>
  <c r="AO61" s="1"/>
  <c r="M61"/>
  <c r="N61" s="1"/>
  <c r="AV60"/>
  <c r="AU60"/>
  <c r="AS60"/>
  <c r="AK60"/>
  <c r="AO60" s="1"/>
  <c r="M60"/>
  <c r="N60" s="1"/>
  <c r="AU59"/>
  <c r="AV59"/>
  <c r="AS59"/>
  <c r="AK59"/>
  <c r="AO59" s="1"/>
  <c r="N59"/>
  <c r="M59"/>
  <c r="AU58"/>
  <c r="AS58"/>
  <c r="AK58"/>
  <c r="AO58" s="1"/>
  <c r="M58"/>
  <c r="N58" s="1"/>
  <c r="AU57"/>
  <c r="AT57"/>
  <c r="AV57" s="1"/>
  <c r="AS57"/>
  <c r="AK57"/>
  <c r="AO57" s="1"/>
  <c r="N57"/>
  <c r="M57"/>
  <c r="AV56"/>
  <c r="AU56"/>
  <c r="AS56"/>
  <c r="AM56"/>
  <c r="AL56"/>
  <c r="AK56"/>
  <c r="AO56" s="1"/>
  <c r="N56"/>
  <c r="M56"/>
  <c r="AV55"/>
  <c r="AU55"/>
  <c r="AS55"/>
  <c r="AK55"/>
  <c r="AO55" s="1"/>
  <c r="N55"/>
  <c r="M55"/>
  <c r="AT53"/>
  <c r="AU53" s="1"/>
  <c r="AS53"/>
  <c r="AK53"/>
  <c r="N53"/>
  <c r="M53"/>
  <c r="AT52"/>
  <c r="AU52" s="1"/>
  <c r="AS52"/>
  <c r="AK52"/>
  <c r="AO52" s="1"/>
  <c r="M52"/>
  <c r="N52" s="1"/>
  <c r="AU51"/>
  <c r="AT51"/>
  <c r="AV51" s="1"/>
  <c r="AS51"/>
  <c r="AK51"/>
  <c r="AO51" s="1"/>
  <c r="N51"/>
  <c r="M51"/>
  <c r="AT50"/>
  <c r="AU50" s="1"/>
  <c r="AS50"/>
  <c r="AO50"/>
  <c r="AK50"/>
  <c r="M50"/>
  <c r="N50" s="1"/>
  <c r="AU49"/>
  <c r="AT49"/>
  <c r="AV49" s="1"/>
  <c r="AS49"/>
  <c r="AK49"/>
  <c r="AO49" s="1"/>
  <c r="M49"/>
  <c r="N49" s="1"/>
  <c r="AT48"/>
  <c r="AU48" s="1"/>
  <c r="AS48"/>
  <c r="AK48"/>
  <c r="AO48" s="1"/>
  <c r="M48"/>
  <c r="N48" s="1"/>
  <c r="AU47"/>
  <c r="AT47"/>
  <c r="AV47" s="1"/>
  <c r="AS47"/>
  <c r="AK47"/>
  <c r="AO47" s="1"/>
  <c r="N47"/>
  <c r="M47"/>
  <c r="AV46"/>
  <c r="AU46"/>
  <c r="AS46"/>
  <c r="AK46"/>
  <c r="AO46" s="1"/>
  <c r="N46"/>
  <c r="M46"/>
  <c r="AV45"/>
  <c r="AU45"/>
  <c r="AS45"/>
  <c r="AK45"/>
  <c r="AO45" s="1"/>
  <c r="N45"/>
  <c r="M45"/>
  <c r="AV44"/>
  <c r="AU44"/>
  <c r="AS44"/>
  <c r="AM44"/>
  <c r="AK44"/>
  <c r="AO44" s="1"/>
  <c r="M44"/>
  <c r="N44" s="1"/>
  <c r="AU43"/>
  <c r="AT43"/>
  <c r="AV43" s="1"/>
  <c r="AS43"/>
  <c r="AK43"/>
  <c r="AO43" s="1"/>
  <c r="N43"/>
  <c r="M43"/>
  <c r="AV42"/>
  <c r="AU42"/>
  <c r="AS42"/>
  <c r="AK42"/>
  <c r="AO42" s="1"/>
  <c r="N42"/>
  <c r="M42"/>
  <c r="AV41"/>
  <c r="AU41"/>
  <c r="AS41"/>
  <c r="AM41"/>
  <c r="AL41"/>
  <c r="AK41"/>
  <c r="AO41" s="1"/>
  <c r="N41"/>
  <c r="M41"/>
  <c r="AT40"/>
  <c r="AU40" s="1"/>
  <c r="AS40"/>
  <c r="AK40"/>
  <c r="AO40" s="1"/>
  <c r="M40"/>
  <c r="N40" s="1"/>
  <c r="AV39"/>
  <c r="AV37"/>
  <c r="AU37"/>
  <c r="AS37"/>
  <c r="AM37"/>
  <c r="AL37"/>
  <c r="AK37"/>
  <c r="AO37" s="1"/>
  <c r="N37"/>
  <c r="M37"/>
  <c r="AV36"/>
  <c r="AU36"/>
  <c r="AS36"/>
  <c r="AK36"/>
  <c r="AO36" s="1"/>
  <c r="N36"/>
  <c r="M36"/>
  <c r="AV35"/>
  <c r="AU35"/>
  <c r="AS35"/>
  <c r="AM35"/>
  <c r="AL35"/>
  <c r="AK35"/>
  <c r="AO35" s="1"/>
  <c r="N35"/>
  <c r="M35"/>
  <c r="AV34"/>
  <c r="AU34"/>
  <c r="AS34"/>
  <c r="AK34"/>
  <c r="AO34" s="1"/>
  <c r="N34"/>
  <c r="M34"/>
  <c r="AT33"/>
  <c r="AU33" s="1"/>
  <c r="AS33"/>
  <c r="AM33"/>
  <c r="AK33"/>
  <c r="AO33" s="1"/>
  <c r="N33"/>
  <c r="M33"/>
  <c r="AV32"/>
  <c r="AM32"/>
  <c r="AR32" s="1"/>
  <c r="AL32"/>
  <c r="AK32"/>
  <c r="AO32" s="1"/>
  <c r="M32"/>
  <c r="N32" s="1"/>
  <c r="AV31"/>
  <c r="AL31"/>
  <c r="AR31" s="1"/>
  <c r="AK31"/>
  <c r="AO31" s="1"/>
  <c r="M31"/>
  <c r="N31" s="1"/>
  <c r="AV30"/>
  <c r="AM30"/>
  <c r="AR30" s="1"/>
  <c r="AL30"/>
  <c r="AK30"/>
  <c r="AO30" s="1"/>
  <c r="N30"/>
  <c r="M30"/>
  <c r="AV29"/>
  <c r="AU29"/>
  <c r="AS29"/>
  <c r="AO29"/>
  <c r="AM29"/>
  <c r="AK29"/>
  <c r="M29"/>
  <c r="N29" s="1"/>
  <c r="AV28"/>
  <c r="AU28"/>
  <c r="AS28"/>
  <c r="AO28"/>
  <c r="AK28"/>
  <c r="M28"/>
  <c r="N28" s="1"/>
  <c r="AU27"/>
  <c r="AT27"/>
  <c r="AV27" s="1"/>
  <c r="AS27"/>
  <c r="AK27"/>
  <c r="AO27" s="1"/>
  <c r="M27"/>
  <c r="N27" s="1"/>
  <c r="AV26"/>
  <c r="AU26"/>
  <c r="AS26"/>
  <c r="AO26"/>
  <c r="AM26"/>
  <c r="AL26"/>
  <c r="AK26"/>
  <c r="AT25"/>
  <c r="AU25" s="1"/>
  <c r="AS25"/>
  <c r="AK25"/>
  <c r="AO25" s="1"/>
  <c r="M25"/>
  <c r="N25" s="1"/>
  <c r="AV24"/>
  <c r="AU24"/>
  <c r="AS24"/>
  <c r="AO24"/>
  <c r="AL24"/>
  <c r="AM24" s="1"/>
  <c r="AK24"/>
  <c r="AV23"/>
  <c r="AU23"/>
  <c r="AS23"/>
  <c r="AK23"/>
  <c r="AO23" s="1"/>
  <c r="M23"/>
  <c r="N23" s="1"/>
  <c r="AU22"/>
  <c r="AT22"/>
  <c r="AV22" s="1"/>
  <c r="AS22"/>
  <c r="AO22"/>
  <c r="AM22"/>
  <c r="AL22"/>
  <c r="AK22"/>
  <c r="N22"/>
  <c r="M22"/>
  <c r="AV21"/>
  <c r="AU21"/>
  <c r="AS21"/>
  <c r="AK21"/>
  <c r="AO21" s="1"/>
  <c r="N21"/>
  <c r="M21"/>
  <c r="AV20"/>
  <c r="AU20"/>
  <c r="AS20"/>
  <c r="AK20"/>
  <c r="AO20" s="1"/>
  <c r="N20"/>
  <c r="M20"/>
  <c r="AV19"/>
  <c r="AU19"/>
  <c r="AS19"/>
  <c r="AK19"/>
  <c r="AO19" s="1"/>
  <c r="N19"/>
  <c r="M19"/>
  <c r="AV18"/>
  <c r="AU18"/>
  <c r="AS18"/>
  <c r="AK18"/>
  <c r="AO18" s="1"/>
  <c r="N18"/>
  <c r="M18"/>
  <c r="AV17"/>
  <c r="AU17"/>
  <c r="AS17"/>
  <c r="AL17"/>
  <c r="AL99" s="1"/>
  <c r="AK17"/>
  <c r="AJ99"/>
  <c r="N17"/>
  <c r="M17"/>
  <c r="AT58" i="55"/>
  <c r="AV58" s="1"/>
  <c r="AQ98"/>
  <c r="AP98"/>
  <c r="AN98"/>
  <c r="AI98"/>
  <c r="AH98"/>
  <c r="AG98"/>
  <c r="AF98"/>
  <c r="AD98"/>
  <c r="AC98"/>
  <c r="AB98"/>
  <c r="T98"/>
  <c r="R98"/>
  <c r="P98"/>
  <c r="K98"/>
  <c r="AV97"/>
  <c r="AU97"/>
  <c r="AS97"/>
  <c r="AJ97"/>
  <c r="AE97"/>
  <c r="AK97" s="1"/>
  <c r="AO97" s="1"/>
  <c r="N97"/>
  <c r="M97"/>
  <c r="AV95"/>
  <c r="AU95"/>
  <c r="AS95"/>
  <c r="AK95"/>
  <c r="AO95" s="1"/>
  <c r="AJ95"/>
  <c r="N95"/>
  <c r="M95"/>
  <c r="AV94"/>
  <c r="AU94"/>
  <c r="AS94"/>
  <c r="AK94"/>
  <c r="AO94" s="1"/>
  <c r="AJ94"/>
  <c r="N94"/>
  <c r="M94"/>
  <c r="AV93"/>
  <c r="AU93"/>
  <c r="AS93"/>
  <c r="AK93"/>
  <c r="AO93" s="1"/>
  <c r="AJ93"/>
  <c r="N93"/>
  <c r="M93"/>
  <c r="AT92"/>
  <c r="AU92" s="1"/>
  <c r="AS92"/>
  <c r="AO92"/>
  <c r="AK92"/>
  <c r="AJ92"/>
  <c r="M92"/>
  <c r="N92" s="1"/>
  <c r="AV91"/>
  <c r="AU91"/>
  <c r="AS91"/>
  <c r="AO91"/>
  <c r="AK91"/>
  <c r="AJ91"/>
  <c r="M91"/>
  <c r="N91" s="1"/>
  <c r="AV90"/>
  <c r="AU90"/>
  <c r="AS90"/>
  <c r="AO90"/>
  <c r="AK90"/>
  <c r="AJ90"/>
  <c r="M90"/>
  <c r="N90" s="1"/>
  <c r="AV88"/>
  <c r="AU88"/>
  <c r="AS88"/>
  <c r="AK88"/>
  <c r="AJ88"/>
  <c r="N88"/>
  <c r="M88"/>
  <c r="AV87"/>
  <c r="AU87"/>
  <c r="AS87"/>
  <c r="AK87"/>
  <c r="AO87" s="1"/>
  <c r="AJ87"/>
  <c r="N87"/>
  <c r="M87"/>
  <c r="AT86"/>
  <c r="AU86" s="1"/>
  <c r="AS86"/>
  <c r="AL86"/>
  <c r="AM86" s="1"/>
  <c r="AO86" s="1"/>
  <c r="AK86"/>
  <c r="AJ86"/>
  <c r="M86"/>
  <c r="N86" s="1"/>
  <c r="AV85"/>
  <c r="AT84"/>
  <c r="AU84" s="1"/>
  <c r="AS84"/>
  <c r="AO84"/>
  <c r="AK84"/>
  <c r="AJ84"/>
  <c r="M84"/>
  <c r="N84" s="1"/>
  <c r="AU83"/>
  <c r="AT83"/>
  <c r="AV83" s="1"/>
  <c r="AS83"/>
  <c r="AK83"/>
  <c r="AO83" s="1"/>
  <c r="AJ83"/>
  <c r="N83"/>
  <c r="M83"/>
  <c r="AV82"/>
  <c r="AV81"/>
  <c r="AU81"/>
  <c r="AS81"/>
  <c r="AO81"/>
  <c r="AK81"/>
  <c r="AJ81"/>
  <c r="M81"/>
  <c r="N81" s="1"/>
  <c r="AU80"/>
  <c r="AT80"/>
  <c r="AV80" s="1"/>
  <c r="AS80"/>
  <c r="AK80"/>
  <c r="AO80" s="1"/>
  <c r="AJ80"/>
  <c r="N80"/>
  <c r="M80"/>
  <c r="AT79"/>
  <c r="AU79" s="1"/>
  <c r="AS79"/>
  <c r="AO79"/>
  <c r="AK79"/>
  <c r="AJ79"/>
  <c r="M79"/>
  <c r="N79" s="1"/>
  <c r="AU78"/>
  <c r="AT78"/>
  <c r="AV78" s="1"/>
  <c r="AS78"/>
  <c r="AK78"/>
  <c r="AO78" s="1"/>
  <c r="AJ78"/>
  <c r="N78"/>
  <c r="M78"/>
  <c r="AV77"/>
  <c r="AU77"/>
  <c r="AS77"/>
  <c r="AK77"/>
  <c r="AO77" s="1"/>
  <c r="AJ77"/>
  <c r="N77"/>
  <c r="M77"/>
  <c r="AV76"/>
  <c r="AU76"/>
  <c r="AS76"/>
  <c r="AK76"/>
  <c r="AO76" s="1"/>
  <c r="AJ76"/>
  <c r="N76"/>
  <c r="M76"/>
  <c r="AV75"/>
  <c r="AS75"/>
  <c r="AR75"/>
  <c r="AU75" s="1"/>
  <c r="AO75"/>
  <c r="AK75"/>
  <c r="AJ75"/>
  <c r="M75"/>
  <c r="N75" s="1"/>
  <c r="AV74"/>
  <c r="AR74"/>
  <c r="AS74" s="1"/>
  <c r="AK74"/>
  <c r="AO74" s="1"/>
  <c r="AJ74"/>
  <c r="N74"/>
  <c r="M74"/>
  <c r="AV73"/>
  <c r="AU73"/>
  <c r="AS73"/>
  <c r="AL73"/>
  <c r="AK73"/>
  <c r="AO73" s="1"/>
  <c r="AJ73"/>
  <c r="M73"/>
  <c r="N73" s="1"/>
  <c r="AV72"/>
  <c r="AV71"/>
  <c r="AU71"/>
  <c r="AS71"/>
  <c r="AK71"/>
  <c r="AJ71"/>
  <c r="M71"/>
  <c r="N71" s="1"/>
  <c r="AV70"/>
  <c r="AU70"/>
  <c r="AS70"/>
  <c r="AO70"/>
  <c r="AK70"/>
  <c r="AJ70"/>
  <c r="M70"/>
  <c r="N70" s="1"/>
  <c r="AV69"/>
  <c r="AU69"/>
  <c r="AS69"/>
  <c r="AO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U58"/>
  <c r="AS58"/>
  <c r="AK58"/>
  <c r="AO58" s="1"/>
  <c r="AJ58"/>
  <c r="N58"/>
  <c r="M58"/>
  <c r="AT57"/>
  <c r="AU57" s="1"/>
  <c r="AS57"/>
  <c r="AO57"/>
  <c r="AK57"/>
  <c r="AJ57"/>
  <c r="M57"/>
  <c r="N57" s="1"/>
  <c r="AU56"/>
  <c r="AT56"/>
  <c r="AV56" s="1"/>
  <c r="AS56"/>
  <c r="AK56"/>
  <c r="AO56" s="1"/>
  <c r="AJ56"/>
  <c r="N56"/>
  <c r="M56"/>
  <c r="AV55"/>
  <c r="AU55"/>
  <c r="AS55"/>
  <c r="AM55"/>
  <c r="AL55"/>
  <c r="AK55"/>
  <c r="AO55" s="1"/>
  <c r="AJ55"/>
  <c r="N55"/>
  <c r="M55"/>
  <c r="AV54"/>
  <c r="AU54"/>
  <c r="AS54"/>
  <c r="AK54"/>
  <c r="AO54" s="1"/>
  <c r="AJ54"/>
  <c r="N54"/>
  <c r="M54"/>
  <c r="AT52"/>
  <c r="AU52" s="1"/>
  <c r="AS52"/>
  <c r="AK52"/>
  <c r="AJ52"/>
  <c r="N52"/>
  <c r="M52"/>
  <c r="AT51"/>
  <c r="AU51" s="1"/>
  <c r="AS51"/>
  <c r="AO51"/>
  <c r="AK51"/>
  <c r="AJ51"/>
  <c r="M51"/>
  <c r="N51" s="1"/>
  <c r="AU50"/>
  <c r="AT50"/>
  <c r="AV50" s="1"/>
  <c r="AS50"/>
  <c r="AK50"/>
  <c r="AO50" s="1"/>
  <c r="AJ50"/>
  <c r="N50"/>
  <c r="M50"/>
  <c r="AT49"/>
  <c r="AU49" s="1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V45"/>
  <c r="AU45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M43"/>
  <c r="AK43"/>
  <c r="AO43" s="1"/>
  <c r="AJ43"/>
  <c r="M43"/>
  <c r="N43" s="1"/>
  <c r="AU42"/>
  <c r="AT42"/>
  <c r="AV42" s="1"/>
  <c r="AS42"/>
  <c r="AK42"/>
  <c r="AO42" s="1"/>
  <c r="AJ42"/>
  <c r="N42"/>
  <c r="M42"/>
  <c r="AV41"/>
  <c r="AU41"/>
  <c r="AS41"/>
  <c r="AK41"/>
  <c r="AO41" s="1"/>
  <c r="AJ41"/>
  <c r="N41"/>
  <c r="M41"/>
  <c r="AV40"/>
  <c r="AU40"/>
  <c r="AS40"/>
  <c r="AM40"/>
  <c r="AL40"/>
  <c r="AK40"/>
  <c r="AO40" s="1"/>
  <c r="AJ40"/>
  <c r="N40"/>
  <c r="M40"/>
  <c r="AT39"/>
  <c r="AU39" s="1"/>
  <c r="AS39"/>
  <c r="AO39"/>
  <c r="AK39"/>
  <c r="AJ39"/>
  <c r="M39"/>
  <c r="N39" s="1"/>
  <c r="AV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T33"/>
  <c r="AU33" s="1"/>
  <c r="AS33"/>
  <c r="AM33"/>
  <c r="AK33"/>
  <c r="AO33" s="1"/>
  <c r="AJ33"/>
  <c r="N33"/>
  <c r="M33"/>
  <c r="AV32"/>
  <c r="AO32"/>
  <c r="AM32"/>
  <c r="AR32" s="1"/>
  <c r="AL32"/>
  <c r="AK32"/>
  <c r="AJ32"/>
  <c r="M32"/>
  <c r="N32" s="1"/>
  <c r="AV31"/>
  <c r="AL31"/>
  <c r="AR31" s="1"/>
  <c r="AK31"/>
  <c r="AO31" s="1"/>
  <c r="AJ31"/>
  <c r="M31"/>
  <c r="N31" s="1"/>
  <c r="AV30"/>
  <c r="AM30"/>
  <c r="AR30" s="1"/>
  <c r="AL30"/>
  <c r="AK30"/>
  <c r="AO30" s="1"/>
  <c r="AJ30"/>
  <c r="N30"/>
  <c r="M30"/>
  <c r="AV29"/>
  <c r="AU29"/>
  <c r="AS29"/>
  <c r="AO29"/>
  <c r="AM29"/>
  <c r="AK29"/>
  <c r="AJ29"/>
  <c r="M29"/>
  <c r="N29" s="1"/>
  <c r="AV28"/>
  <c r="AU28"/>
  <c r="AS28"/>
  <c r="AO28"/>
  <c r="AK28"/>
  <c r="AJ28"/>
  <c r="M28"/>
  <c r="N28" s="1"/>
  <c r="AU27"/>
  <c r="AT27"/>
  <c r="AV27" s="1"/>
  <c r="AS27"/>
  <c r="AK27"/>
  <c r="AO27" s="1"/>
  <c r="AJ27"/>
  <c r="N27"/>
  <c r="M27"/>
  <c r="AV26"/>
  <c r="AU26"/>
  <c r="AS26"/>
  <c r="AO26"/>
  <c r="AM26"/>
  <c r="AL26"/>
  <c r="AK26"/>
  <c r="AJ26"/>
  <c r="AT25"/>
  <c r="AU25" s="1"/>
  <c r="AS25"/>
  <c r="AO25"/>
  <c r="AK25"/>
  <c r="AJ25"/>
  <c r="M25"/>
  <c r="N25" s="1"/>
  <c r="AV24"/>
  <c r="AU24"/>
  <c r="AS24"/>
  <c r="AO24"/>
  <c r="AL24"/>
  <c r="AM24" s="1"/>
  <c r="AK24"/>
  <c r="AJ24"/>
  <c r="AV23"/>
  <c r="AU23"/>
  <c r="AS23"/>
  <c r="AO23"/>
  <c r="AK23"/>
  <c r="AJ23"/>
  <c r="M23"/>
  <c r="N23" s="1"/>
  <c r="AU22"/>
  <c r="AT22"/>
  <c r="AV22" s="1"/>
  <c r="AS22"/>
  <c r="AO22"/>
  <c r="AM22"/>
  <c r="AM98" s="1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O98" s="1"/>
  <c r="AJ18"/>
  <c r="N18"/>
  <c r="M18"/>
  <c r="AV17"/>
  <c r="AU17"/>
  <c r="AS17"/>
  <c r="AL17"/>
  <c r="AL98" s="1"/>
  <c r="AK17"/>
  <c r="AK98" s="1"/>
  <c r="AJ17"/>
  <c r="AJ98" s="1"/>
  <c r="N17"/>
  <c r="N98" s="1"/>
  <c r="M17"/>
  <c r="AQ98" i="54"/>
  <c r="AP98"/>
  <c r="AN98"/>
  <c r="AI98"/>
  <c r="AH98"/>
  <c r="AG98"/>
  <c r="AF98"/>
  <c r="AD98"/>
  <c r="AC98"/>
  <c r="AB98"/>
  <c r="T98"/>
  <c r="R98"/>
  <c r="P98"/>
  <c r="K98"/>
  <c r="AV97"/>
  <c r="AU97"/>
  <c r="AS97"/>
  <c r="AJ97"/>
  <c r="AE97"/>
  <c r="AK97" s="1"/>
  <c r="AO97" s="1"/>
  <c r="N97"/>
  <c r="M97"/>
  <c r="AV95"/>
  <c r="AU95"/>
  <c r="AS95"/>
  <c r="AK95"/>
  <c r="AO95" s="1"/>
  <c r="AJ95"/>
  <c r="N95"/>
  <c r="M95"/>
  <c r="AV94"/>
  <c r="AU94"/>
  <c r="AS94"/>
  <c r="AK94"/>
  <c r="AO94" s="1"/>
  <c r="AJ94"/>
  <c r="N94"/>
  <c r="M94"/>
  <c r="AV93"/>
  <c r="AU93"/>
  <c r="AS93"/>
  <c r="AK93"/>
  <c r="AO93" s="1"/>
  <c r="AJ93"/>
  <c r="N93"/>
  <c r="M93"/>
  <c r="AT92"/>
  <c r="AU92" s="1"/>
  <c r="AS92"/>
  <c r="AO92"/>
  <c r="AK92"/>
  <c r="AJ92"/>
  <c r="M92"/>
  <c r="N92" s="1"/>
  <c r="AV91"/>
  <c r="AU91"/>
  <c r="AS91"/>
  <c r="AO91"/>
  <c r="AK91"/>
  <c r="AJ91"/>
  <c r="M91"/>
  <c r="N91" s="1"/>
  <c r="AV90"/>
  <c r="AU90"/>
  <c r="AS90"/>
  <c r="AO90"/>
  <c r="AK90"/>
  <c r="AJ90"/>
  <c r="M90"/>
  <c r="N90" s="1"/>
  <c r="AV88"/>
  <c r="AU88"/>
  <c r="AS88"/>
  <c r="AK88"/>
  <c r="AJ88"/>
  <c r="N88"/>
  <c r="M88"/>
  <c r="AV87"/>
  <c r="AU87"/>
  <c r="AS87"/>
  <c r="AK87"/>
  <c r="AO87" s="1"/>
  <c r="AJ87"/>
  <c r="N87"/>
  <c r="M87"/>
  <c r="AT86"/>
  <c r="AU86" s="1"/>
  <c r="AS86"/>
  <c r="AL86"/>
  <c r="AM86" s="1"/>
  <c r="AO86" s="1"/>
  <c r="AK86"/>
  <c r="AJ86"/>
  <c r="M86"/>
  <c r="N86" s="1"/>
  <c r="AV85"/>
  <c r="AT84"/>
  <c r="AU84" s="1"/>
  <c r="AS84"/>
  <c r="AO84"/>
  <c r="AK84"/>
  <c r="AJ84"/>
  <c r="M84"/>
  <c r="N84" s="1"/>
  <c r="AU83"/>
  <c r="AT83"/>
  <c r="AV83" s="1"/>
  <c r="AS83"/>
  <c r="AK83"/>
  <c r="AO83" s="1"/>
  <c r="AJ83"/>
  <c r="N83"/>
  <c r="M83"/>
  <c r="AV82"/>
  <c r="AV81"/>
  <c r="AU81"/>
  <c r="AS81"/>
  <c r="AO81"/>
  <c r="AK81"/>
  <c r="AJ81"/>
  <c r="M81"/>
  <c r="N81" s="1"/>
  <c r="AU80"/>
  <c r="AT80"/>
  <c r="AV80" s="1"/>
  <c r="AS80"/>
  <c r="AK80"/>
  <c r="AO80" s="1"/>
  <c r="AJ80"/>
  <c r="N80"/>
  <c r="M80"/>
  <c r="AT79"/>
  <c r="AU79" s="1"/>
  <c r="AS79"/>
  <c r="AO79"/>
  <c r="AK79"/>
  <c r="AJ79"/>
  <c r="M79"/>
  <c r="N79" s="1"/>
  <c r="AU78"/>
  <c r="AT78"/>
  <c r="AV78" s="1"/>
  <c r="AS78"/>
  <c r="AK78"/>
  <c r="AO78" s="1"/>
  <c r="AJ78"/>
  <c r="N78"/>
  <c r="M78"/>
  <c r="AV77"/>
  <c r="AU77"/>
  <c r="AS77"/>
  <c r="AK77"/>
  <c r="AO77" s="1"/>
  <c r="AJ77"/>
  <c r="N77"/>
  <c r="M77"/>
  <c r="AV76"/>
  <c r="AU76"/>
  <c r="AS76"/>
  <c r="AK76"/>
  <c r="AO76" s="1"/>
  <c r="AJ76"/>
  <c r="N76"/>
  <c r="M76"/>
  <c r="AV75"/>
  <c r="AS75"/>
  <c r="AR75"/>
  <c r="AU75" s="1"/>
  <c r="AO75"/>
  <c r="AK75"/>
  <c r="AJ75"/>
  <c r="M75"/>
  <c r="N75" s="1"/>
  <c r="AV74"/>
  <c r="AR74"/>
  <c r="AS74" s="1"/>
  <c r="AK74"/>
  <c r="AO74" s="1"/>
  <c r="AJ74"/>
  <c r="N74"/>
  <c r="M74"/>
  <c r="AV73"/>
  <c r="AU73"/>
  <c r="AS73"/>
  <c r="AL73"/>
  <c r="AK73"/>
  <c r="AO73" s="1"/>
  <c r="AJ73"/>
  <c r="M73"/>
  <c r="N73" s="1"/>
  <c r="AV72"/>
  <c r="AV71"/>
  <c r="AU71"/>
  <c r="AS71"/>
  <c r="AK71"/>
  <c r="AJ71"/>
  <c r="M71"/>
  <c r="N71" s="1"/>
  <c r="AV70"/>
  <c r="AU70"/>
  <c r="AS70"/>
  <c r="AO70"/>
  <c r="AK70"/>
  <c r="AJ70"/>
  <c r="M70"/>
  <c r="N70" s="1"/>
  <c r="AV69"/>
  <c r="AU69"/>
  <c r="AS69"/>
  <c r="AO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U58"/>
  <c r="AT58"/>
  <c r="AV58" s="1"/>
  <c r="AS58"/>
  <c r="AK58"/>
  <c r="AO58" s="1"/>
  <c r="AJ58"/>
  <c r="N58"/>
  <c r="M58"/>
  <c r="AT57"/>
  <c r="AU57" s="1"/>
  <c r="AS57"/>
  <c r="AO57"/>
  <c r="AK57"/>
  <c r="AJ57"/>
  <c r="M57"/>
  <c r="N57" s="1"/>
  <c r="AU56"/>
  <c r="AT56"/>
  <c r="AV56" s="1"/>
  <c r="AS56"/>
  <c r="AK56"/>
  <c r="AO56" s="1"/>
  <c r="AJ56"/>
  <c r="N56"/>
  <c r="M56"/>
  <c r="AV55"/>
  <c r="AU55"/>
  <c r="AS55"/>
  <c r="AM55"/>
  <c r="AL55"/>
  <c r="AK55"/>
  <c r="AO55" s="1"/>
  <c r="AJ55"/>
  <c r="N55"/>
  <c r="M55"/>
  <c r="AV54"/>
  <c r="AU54"/>
  <c r="AS54"/>
  <c r="AK54"/>
  <c r="AO54" s="1"/>
  <c r="AJ54"/>
  <c r="N54"/>
  <c r="M54"/>
  <c r="AT52"/>
  <c r="AU52" s="1"/>
  <c r="AS52"/>
  <c r="AK52"/>
  <c r="AJ52"/>
  <c r="N52"/>
  <c r="M52"/>
  <c r="AT51"/>
  <c r="AU51" s="1"/>
  <c r="AS51"/>
  <c r="AO51"/>
  <c r="AK51"/>
  <c r="AJ51"/>
  <c r="M51"/>
  <c r="N51" s="1"/>
  <c r="AU50"/>
  <c r="AT50"/>
  <c r="AV50" s="1"/>
  <c r="AS50"/>
  <c r="AK50"/>
  <c r="AO50" s="1"/>
  <c r="AJ50"/>
  <c r="N50"/>
  <c r="M50"/>
  <c r="AT49"/>
  <c r="AU49" s="1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V45"/>
  <c r="AU45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M43"/>
  <c r="AK43"/>
  <c r="AO43" s="1"/>
  <c r="AJ43"/>
  <c r="M43"/>
  <c r="N43" s="1"/>
  <c r="AU42"/>
  <c r="AT42"/>
  <c r="AV42" s="1"/>
  <c r="AS42"/>
  <c r="AK42"/>
  <c r="AO42" s="1"/>
  <c r="AJ42"/>
  <c r="N42"/>
  <c r="M42"/>
  <c r="AV41"/>
  <c r="AU41"/>
  <c r="AS41"/>
  <c r="AK41"/>
  <c r="AO41" s="1"/>
  <c r="AJ41"/>
  <c r="N41"/>
  <c r="M41"/>
  <c r="AV40"/>
  <c r="AU40"/>
  <c r="AS40"/>
  <c r="AM40"/>
  <c r="AL40"/>
  <c r="AK40"/>
  <c r="AO40" s="1"/>
  <c r="AJ40"/>
  <c r="N40"/>
  <c r="M40"/>
  <c r="AT39"/>
  <c r="AU39" s="1"/>
  <c r="AS39"/>
  <c r="AO39"/>
  <c r="AK39"/>
  <c r="AJ39"/>
  <c r="M39"/>
  <c r="N39" s="1"/>
  <c r="AV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T33"/>
  <c r="AU33" s="1"/>
  <c r="AS33"/>
  <c r="AM33"/>
  <c r="AK33"/>
  <c r="AO33" s="1"/>
  <c r="AJ33"/>
  <c r="N33"/>
  <c r="M33"/>
  <c r="AV32"/>
  <c r="AO32"/>
  <c r="AM32"/>
  <c r="AR32" s="1"/>
  <c r="AL32"/>
  <c r="AK32"/>
  <c r="AJ32"/>
  <c r="M32"/>
  <c r="N32" s="1"/>
  <c r="AV31"/>
  <c r="AL31"/>
  <c r="AR31" s="1"/>
  <c r="AK31"/>
  <c r="AO31" s="1"/>
  <c r="AJ31"/>
  <c r="M31"/>
  <c r="N31" s="1"/>
  <c r="AV30"/>
  <c r="AM30"/>
  <c r="AR30" s="1"/>
  <c r="AL30"/>
  <c r="AK30"/>
  <c r="AO30" s="1"/>
  <c r="AJ30"/>
  <c r="N30"/>
  <c r="M30"/>
  <c r="AV29"/>
  <c r="AU29"/>
  <c r="AS29"/>
  <c r="AO29"/>
  <c r="AM29"/>
  <c r="AK29"/>
  <c r="AJ29"/>
  <c r="M29"/>
  <c r="N29" s="1"/>
  <c r="AV28"/>
  <c r="AU28"/>
  <c r="AS28"/>
  <c r="AO28"/>
  <c r="AK28"/>
  <c r="AJ28"/>
  <c r="M28"/>
  <c r="N28" s="1"/>
  <c r="AU27"/>
  <c r="AT27"/>
  <c r="AV27" s="1"/>
  <c r="AS27"/>
  <c r="AK27"/>
  <c r="AO27" s="1"/>
  <c r="AJ27"/>
  <c r="N27"/>
  <c r="M27"/>
  <c r="AV26"/>
  <c r="AU26"/>
  <c r="AS26"/>
  <c r="AO26"/>
  <c r="AM26"/>
  <c r="AL26"/>
  <c r="AK26"/>
  <c r="AJ26"/>
  <c r="AT25"/>
  <c r="AU25" s="1"/>
  <c r="AS25"/>
  <c r="AO25"/>
  <c r="AK25"/>
  <c r="AJ25"/>
  <c r="M25"/>
  <c r="N25" s="1"/>
  <c r="AV24"/>
  <c r="AU24"/>
  <c r="AS24"/>
  <c r="AO24"/>
  <c r="AL24"/>
  <c r="AM24" s="1"/>
  <c r="AK24"/>
  <c r="AJ24"/>
  <c r="AV23"/>
  <c r="AU23"/>
  <c r="AS23"/>
  <c r="AO23"/>
  <c r="AK23"/>
  <c r="AJ23"/>
  <c r="M23"/>
  <c r="N23" s="1"/>
  <c r="AU22"/>
  <c r="AT22"/>
  <c r="AV22" s="1"/>
  <c r="AS22"/>
  <c r="AO22"/>
  <c r="AM22"/>
  <c r="AM98" s="1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O98" s="1"/>
  <c r="AJ18"/>
  <c r="N18"/>
  <c r="M18"/>
  <c r="AV17"/>
  <c r="AU17"/>
  <c r="AS17"/>
  <c r="AL17"/>
  <c r="AL98" s="1"/>
  <c r="AK17"/>
  <c r="AK98" s="1"/>
  <c r="AJ17"/>
  <c r="AJ98" s="1"/>
  <c r="N17"/>
  <c r="N98" s="1"/>
  <c r="M17"/>
  <c r="AT86" i="53"/>
  <c r="AV86" s="1"/>
  <c r="AT84"/>
  <c r="AU84" s="1"/>
  <c r="AT80"/>
  <c r="AV80" s="1"/>
  <c r="AT58"/>
  <c r="AU58" s="1"/>
  <c r="AT57"/>
  <c r="AT52"/>
  <c r="AT51"/>
  <c r="AV51" s="1"/>
  <c r="AQ98"/>
  <c r="AP98"/>
  <c r="AN98"/>
  <c r="AI98"/>
  <c r="AH98"/>
  <c r="AG98"/>
  <c r="AF98"/>
  <c r="AD98"/>
  <c r="AC98"/>
  <c r="AB98"/>
  <c r="T98"/>
  <c r="R98"/>
  <c r="P98"/>
  <c r="K98"/>
  <c r="AV97"/>
  <c r="AU97"/>
  <c r="AS97"/>
  <c r="AJ97"/>
  <c r="AE97"/>
  <c r="AK97" s="1"/>
  <c r="AO97" s="1"/>
  <c r="M97"/>
  <c r="N97" s="1"/>
  <c r="AV95"/>
  <c r="AU95"/>
  <c r="AS95"/>
  <c r="AO95"/>
  <c r="AK95"/>
  <c r="AJ95"/>
  <c r="M95"/>
  <c r="N95" s="1"/>
  <c r="AV94"/>
  <c r="AU94"/>
  <c r="AS94"/>
  <c r="AO94"/>
  <c r="AK94"/>
  <c r="AJ94"/>
  <c r="M94"/>
  <c r="N94" s="1"/>
  <c r="AV93"/>
  <c r="AU93"/>
  <c r="AS93"/>
  <c r="AO93"/>
  <c r="AK93"/>
  <c r="AJ93"/>
  <c r="M93"/>
  <c r="N93" s="1"/>
  <c r="AU92"/>
  <c r="AT92"/>
  <c r="AV92" s="1"/>
  <c r="AS92"/>
  <c r="AK92"/>
  <c r="AO92" s="1"/>
  <c r="AJ92"/>
  <c r="N92"/>
  <c r="M92"/>
  <c r="AV91"/>
  <c r="AU91"/>
  <c r="AS91"/>
  <c r="AK91"/>
  <c r="AO91" s="1"/>
  <c r="AJ91"/>
  <c r="N91"/>
  <c r="M91"/>
  <c r="AV90"/>
  <c r="AU90"/>
  <c r="AS90"/>
  <c r="AK90"/>
  <c r="AO90" s="1"/>
  <c r="AJ90"/>
  <c r="N90"/>
  <c r="M90"/>
  <c r="AV88"/>
  <c r="AU88"/>
  <c r="AS88"/>
  <c r="AK88"/>
  <c r="AJ88"/>
  <c r="M88"/>
  <c r="N88" s="1"/>
  <c r="AV87"/>
  <c r="AU87"/>
  <c r="AS87"/>
  <c r="AO87"/>
  <c r="AK87"/>
  <c r="AJ87"/>
  <c r="M87"/>
  <c r="N87" s="1"/>
  <c r="AS86"/>
  <c r="AM86"/>
  <c r="AL86"/>
  <c r="AK86"/>
  <c r="AO86" s="1"/>
  <c r="AJ86"/>
  <c r="N86"/>
  <c r="M86"/>
  <c r="AV85"/>
  <c r="AV84"/>
  <c r="AS84"/>
  <c r="AK84"/>
  <c r="AO84" s="1"/>
  <c r="AJ84"/>
  <c r="N84"/>
  <c r="M84"/>
  <c r="AT83"/>
  <c r="AV83" s="1"/>
  <c r="AS83"/>
  <c r="AO83"/>
  <c r="AK83"/>
  <c r="AJ83"/>
  <c r="M83"/>
  <c r="N83" s="1"/>
  <c r="AV82"/>
  <c r="AV81"/>
  <c r="AU81"/>
  <c r="AS81"/>
  <c r="AK81"/>
  <c r="AO81" s="1"/>
  <c r="AJ81"/>
  <c r="N81"/>
  <c r="M81"/>
  <c r="AS80"/>
  <c r="AO80"/>
  <c r="AK80"/>
  <c r="AJ80"/>
  <c r="M80"/>
  <c r="N80" s="1"/>
  <c r="AU79"/>
  <c r="AT79"/>
  <c r="AV79" s="1"/>
  <c r="AS79"/>
  <c r="AK79"/>
  <c r="AO79" s="1"/>
  <c r="AJ79"/>
  <c r="N79"/>
  <c r="M79"/>
  <c r="AT78"/>
  <c r="AV78" s="1"/>
  <c r="AS78"/>
  <c r="AO78"/>
  <c r="AK78"/>
  <c r="AJ78"/>
  <c r="M78"/>
  <c r="N78" s="1"/>
  <c r="AV77"/>
  <c r="AU77"/>
  <c r="AS77"/>
  <c r="AO77"/>
  <c r="AK77"/>
  <c r="AJ77"/>
  <c r="M77"/>
  <c r="N77" s="1"/>
  <c r="AV76"/>
  <c r="AU76"/>
  <c r="AS76"/>
  <c r="AO76"/>
  <c r="AK76"/>
  <c r="AJ76"/>
  <c r="M76"/>
  <c r="N76" s="1"/>
  <c r="AV75"/>
  <c r="AR75"/>
  <c r="AU75" s="1"/>
  <c r="AK75"/>
  <c r="AO75" s="1"/>
  <c r="AJ75"/>
  <c r="N75"/>
  <c r="M75"/>
  <c r="AV74"/>
  <c r="AS74"/>
  <c r="AR74"/>
  <c r="AU74" s="1"/>
  <c r="AO74"/>
  <c r="AK74"/>
  <c r="AJ74"/>
  <c r="M74"/>
  <c r="N74" s="1"/>
  <c r="AV73"/>
  <c r="AU73"/>
  <c r="AS73"/>
  <c r="AL73"/>
  <c r="AK73"/>
  <c r="AO73" s="1"/>
  <c r="AJ73"/>
  <c r="N73"/>
  <c r="M73"/>
  <c r="AV72"/>
  <c r="AV71"/>
  <c r="AU71"/>
  <c r="AS71"/>
  <c r="AK71"/>
  <c r="AJ71"/>
  <c r="N71"/>
  <c r="M71"/>
  <c r="AV70"/>
  <c r="AU70"/>
  <c r="AS70"/>
  <c r="AK70"/>
  <c r="AO70" s="1"/>
  <c r="AJ70"/>
  <c r="N70"/>
  <c r="M70"/>
  <c r="AV69"/>
  <c r="AU69"/>
  <c r="AS69"/>
  <c r="AK69"/>
  <c r="AO69" s="1"/>
  <c r="AJ69"/>
  <c r="N69"/>
  <c r="M69"/>
  <c r="AV68"/>
  <c r="AU68"/>
  <c r="AS68"/>
  <c r="AK68"/>
  <c r="AO68" s="1"/>
  <c r="AJ68"/>
  <c r="N68"/>
  <c r="M68"/>
  <c r="AV67"/>
  <c r="AU67"/>
  <c r="AS67"/>
  <c r="AK67"/>
  <c r="AO67" s="1"/>
  <c r="AJ67"/>
  <c r="N67"/>
  <c r="M67"/>
  <c r="AV66"/>
  <c r="AU66"/>
  <c r="AS66"/>
  <c r="AK66"/>
  <c r="AO66" s="1"/>
  <c r="AJ66"/>
  <c r="N66"/>
  <c r="M66"/>
  <c r="AV65"/>
  <c r="AU65"/>
  <c r="AS65"/>
  <c r="AK65"/>
  <c r="AO65" s="1"/>
  <c r="AJ65"/>
  <c r="N65"/>
  <c r="M65"/>
  <c r="AV64"/>
  <c r="AU64"/>
  <c r="AS64"/>
  <c r="AK64"/>
  <c r="AO64" s="1"/>
  <c r="AJ64"/>
  <c r="N64"/>
  <c r="M64"/>
  <c r="AV63"/>
  <c r="AU63"/>
  <c r="AS63"/>
  <c r="AK63"/>
  <c r="AO63" s="1"/>
  <c r="AJ63"/>
  <c r="N63"/>
  <c r="M63"/>
  <c r="AV62"/>
  <c r="AU62"/>
  <c r="AS62"/>
  <c r="AK62"/>
  <c r="AO62" s="1"/>
  <c r="AJ62"/>
  <c r="N62"/>
  <c r="M62"/>
  <c r="AV61"/>
  <c r="AU61"/>
  <c r="AS61"/>
  <c r="AK61"/>
  <c r="AO61" s="1"/>
  <c r="AJ61"/>
  <c r="N61"/>
  <c r="M61"/>
  <c r="AV60"/>
  <c r="AU60"/>
  <c r="AS60"/>
  <c r="AK60"/>
  <c r="AO60" s="1"/>
  <c r="AJ60"/>
  <c r="N60"/>
  <c r="M60"/>
  <c r="AV59"/>
  <c r="AU59"/>
  <c r="AS59"/>
  <c r="AK59"/>
  <c r="AO59" s="1"/>
  <c r="AJ59"/>
  <c r="N59"/>
  <c r="M59"/>
  <c r="AV58"/>
  <c r="AS58"/>
  <c r="AK58"/>
  <c r="AO58" s="1"/>
  <c r="AJ58"/>
  <c r="N58"/>
  <c r="M58"/>
  <c r="AV57"/>
  <c r="AS57"/>
  <c r="AO57"/>
  <c r="AK57"/>
  <c r="AJ57"/>
  <c r="M57"/>
  <c r="N57" s="1"/>
  <c r="AU56"/>
  <c r="AT56"/>
  <c r="AV56" s="1"/>
  <c r="AS56"/>
  <c r="AK56"/>
  <c r="AO56" s="1"/>
  <c r="AJ56"/>
  <c r="N56"/>
  <c r="M56"/>
  <c r="AV55"/>
  <c r="AU55"/>
  <c r="AS55"/>
  <c r="AM55"/>
  <c r="AL55"/>
  <c r="AK55"/>
  <c r="AO55" s="1"/>
  <c r="AJ55"/>
  <c r="N55"/>
  <c r="M55"/>
  <c r="AV54"/>
  <c r="AU54"/>
  <c r="AS54"/>
  <c r="AK54"/>
  <c r="AO54" s="1"/>
  <c r="AJ54"/>
  <c r="N54"/>
  <c r="M54"/>
  <c r="AV52"/>
  <c r="AS52"/>
  <c r="AK52"/>
  <c r="AJ52"/>
  <c r="N52"/>
  <c r="M52"/>
  <c r="AS51"/>
  <c r="AO51"/>
  <c r="AK51"/>
  <c r="AJ51"/>
  <c r="M51"/>
  <c r="N51" s="1"/>
  <c r="AU50"/>
  <c r="AT50"/>
  <c r="AV50" s="1"/>
  <c r="AS50"/>
  <c r="AK50"/>
  <c r="AO50" s="1"/>
  <c r="AJ50"/>
  <c r="N50"/>
  <c r="M50"/>
  <c r="AT49"/>
  <c r="AV49" s="1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V47" s="1"/>
  <c r="AS47"/>
  <c r="AO47"/>
  <c r="AK47"/>
  <c r="AJ47"/>
  <c r="M47"/>
  <c r="N47" s="1"/>
  <c r="AU46"/>
  <c r="AT46"/>
  <c r="AV46" s="1"/>
  <c r="AS46"/>
  <c r="AK46"/>
  <c r="AO46" s="1"/>
  <c r="AJ46"/>
  <c r="N46"/>
  <c r="M46"/>
  <c r="AV45"/>
  <c r="AU45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M43"/>
  <c r="AK43"/>
  <c r="AO43" s="1"/>
  <c r="AJ43"/>
  <c r="M43"/>
  <c r="N43" s="1"/>
  <c r="AU42"/>
  <c r="AT42"/>
  <c r="AV42" s="1"/>
  <c r="AS42"/>
  <c r="AK42"/>
  <c r="AO42" s="1"/>
  <c r="AJ42"/>
  <c r="N42"/>
  <c r="M42"/>
  <c r="AV41"/>
  <c r="AU41"/>
  <c r="AS41"/>
  <c r="AK41"/>
  <c r="AO41" s="1"/>
  <c r="AJ41"/>
  <c r="N41"/>
  <c r="M41"/>
  <c r="AV40"/>
  <c r="AU40"/>
  <c r="AS40"/>
  <c r="AM40"/>
  <c r="AL40"/>
  <c r="AK40"/>
  <c r="AO40" s="1"/>
  <c r="AJ40"/>
  <c r="N40"/>
  <c r="M40"/>
  <c r="AT39"/>
  <c r="AV39" s="1"/>
  <c r="AS39"/>
  <c r="AO39"/>
  <c r="AK39"/>
  <c r="AJ39"/>
  <c r="M39"/>
  <c r="N39" s="1"/>
  <c r="AV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T33"/>
  <c r="AV33" s="1"/>
  <c r="AS33"/>
  <c r="AM33"/>
  <c r="AK33"/>
  <c r="AO33" s="1"/>
  <c r="AJ33"/>
  <c r="N33"/>
  <c r="M33"/>
  <c r="AV32"/>
  <c r="AO32"/>
  <c r="AM32"/>
  <c r="AR32" s="1"/>
  <c r="AL32"/>
  <c r="AK32"/>
  <c r="AJ32"/>
  <c r="M32"/>
  <c r="N32" s="1"/>
  <c r="AV31"/>
  <c r="AL31"/>
  <c r="AR31" s="1"/>
  <c r="AK31"/>
  <c r="AO31" s="1"/>
  <c r="AJ31"/>
  <c r="M31"/>
  <c r="N31" s="1"/>
  <c r="AV30"/>
  <c r="AM30"/>
  <c r="AR30" s="1"/>
  <c r="AL30"/>
  <c r="AK30"/>
  <c r="AO30" s="1"/>
  <c r="AJ30"/>
  <c r="N30"/>
  <c r="M30"/>
  <c r="AV29"/>
  <c r="AU29"/>
  <c r="AS29"/>
  <c r="AO29"/>
  <c r="AM29"/>
  <c r="AK29"/>
  <c r="AJ29"/>
  <c r="M29"/>
  <c r="N29" s="1"/>
  <c r="AV28"/>
  <c r="AU28"/>
  <c r="AS28"/>
  <c r="AO28"/>
  <c r="AK28"/>
  <c r="AJ28"/>
  <c r="M28"/>
  <c r="N28" s="1"/>
  <c r="AU27"/>
  <c r="AT27"/>
  <c r="AV27" s="1"/>
  <c r="AS27"/>
  <c r="AK27"/>
  <c r="AO27" s="1"/>
  <c r="AJ27"/>
  <c r="N27"/>
  <c r="M27"/>
  <c r="AV26"/>
  <c r="AU26"/>
  <c r="AS26"/>
  <c r="AO26"/>
  <c r="AM26"/>
  <c r="AL26"/>
  <c r="AK26"/>
  <c r="AJ26"/>
  <c r="AT25"/>
  <c r="AV25" s="1"/>
  <c r="AS25"/>
  <c r="AO25"/>
  <c r="AK25"/>
  <c r="AJ25"/>
  <c r="M25"/>
  <c r="N25" s="1"/>
  <c r="AV24"/>
  <c r="AU24"/>
  <c r="AS24"/>
  <c r="AO24"/>
  <c r="AL24"/>
  <c r="AM24" s="1"/>
  <c r="AK24"/>
  <c r="AJ24"/>
  <c r="AV23"/>
  <c r="AU23"/>
  <c r="AS23"/>
  <c r="AO23"/>
  <c r="AK23"/>
  <c r="AJ23"/>
  <c r="M23"/>
  <c r="N23" s="1"/>
  <c r="AU22"/>
  <c r="AT22"/>
  <c r="AS22"/>
  <c r="AO22"/>
  <c r="AM22"/>
  <c r="AM98" s="1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J18"/>
  <c r="N18"/>
  <c r="M18"/>
  <c r="AV17"/>
  <c r="AU17"/>
  <c r="AS17"/>
  <c r="AL17"/>
  <c r="AL98" s="1"/>
  <c r="AK17"/>
  <c r="AK98" s="1"/>
  <c r="AJ17"/>
  <c r="AJ98" s="1"/>
  <c r="N17"/>
  <c r="M17"/>
  <c r="AT52" i="52"/>
  <c r="AU52" s="1"/>
  <c r="AT51"/>
  <c r="AU51" s="1"/>
  <c r="AT84"/>
  <c r="AV84" s="1"/>
  <c r="AT57"/>
  <c r="AV57" s="1"/>
  <c r="AT56"/>
  <c r="AJ98"/>
  <c r="AT86"/>
  <c r="AV82"/>
  <c r="AV85"/>
  <c r="AV38"/>
  <c r="AQ98"/>
  <c r="AP98"/>
  <c r="AN98"/>
  <c r="AI98"/>
  <c r="AH98"/>
  <c r="AG98"/>
  <c r="AF98"/>
  <c r="AD98"/>
  <c r="AC98"/>
  <c r="AB98"/>
  <c r="T98"/>
  <c r="R98"/>
  <c r="P98"/>
  <c r="K98"/>
  <c r="AV97"/>
  <c r="AU97"/>
  <c r="AS97"/>
  <c r="AJ97"/>
  <c r="AE97"/>
  <c r="AK97" s="1"/>
  <c r="AO97" s="1"/>
  <c r="M97"/>
  <c r="N97" s="1"/>
  <c r="AV95"/>
  <c r="AU95"/>
  <c r="AS95"/>
  <c r="AK95"/>
  <c r="AO95" s="1"/>
  <c r="AJ95"/>
  <c r="N95"/>
  <c r="M95"/>
  <c r="AV94"/>
  <c r="AU94"/>
  <c r="AS94"/>
  <c r="AK94"/>
  <c r="AO94" s="1"/>
  <c r="AJ94"/>
  <c r="M94"/>
  <c r="N94" s="1"/>
  <c r="AV93"/>
  <c r="AU93"/>
  <c r="AS93"/>
  <c r="AK93"/>
  <c r="AO93" s="1"/>
  <c r="AJ93"/>
  <c r="M93"/>
  <c r="N93" s="1"/>
  <c r="AT92"/>
  <c r="AU92" s="1"/>
  <c r="AS92"/>
  <c r="AO92"/>
  <c r="AK92"/>
  <c r="AJ92"/>
  <c r="M92"/>
  <c r="N92" s="1"/>
  <c r="AV91"/>
  <c r="AU91"/>
  <c r="AS91"/>
  <c r="AK91"/>
  <c r="AO91" s="1"/>
  <c r="AJ91"/>
  <c r="M91"/>
  <c r="N91" s="1"/>
  <c r="AV90"/>
  <c r="AU90"/>
  <c r="AS90"/>
  <c r="AO90"/>
  <c r="AK90"/>
  <c r="AJ90"/>
  <c r="M90"/>
  <c r="N90" s="1"/>
  <c r="AV88"/>
  <c r="AU88"/>
  <c r="AS88"/>
  <c r="AK88"/>
  <c r="AJ88"/>
  <c r="M88"/>
  <c r="N88" s="1"/>
  <c r="AV87"/>
  <c r="AU87"/>
  <c r="AS87"/>
  <c r="AK87"/>
  <c r="AO87" s="1"/>
  <c r="AJ87"/>
  <c r="N87"/>
  <c r="M87"/>
  <c r="AU86"/>
  <c r="AS86"/>
  <c r="AL86"/>
  <c r="AM86" s="1"/>
  <c r="AO86" s="1"/>
  <c r="AK86"/>
  <c r="AJ86"/>
  <c r="M86"/>
  <c r="N86" s="1"/>
  <c r="AU84"/>
  <c r="AS84"/>
  <c r="AK84"/>
  <c r="AO84" s="1"/>
  <c r="AJ84"/>
  <c r="M84"/>
  <c r="N84" s="1"/>
  <c r="AT83"/>
  <c r="AU83" s="1"/>
  <c r="AS83"/>
  <c r="AK83"/>
  <c r="AO83" s="1"/>
  <c r="AJ83"/>
  <c r="M83"/>
  <c r="N83" s="1"/>
  <c r="AV81"/>
  <c r="AU81"/>
  <c r="AS81"/>
  <c r="AK81"/>
  <c r="AO81" s="1"/>
  <c r="AJ81"/>
  <c r="M81"/>
  <c r="N81" s="1"/>
  <c r="AT80"/>
  <c r="AV80" s="1"/>
  <c r="AS80"/>
  <c r="AK80"/>
  <c r="AO80" s="1"/>
  <c r="AJ80"/>
  <c r="M80"/>
  <c r="N80" s="1"/>
  <c r="AT79"/>
  <c r="AU79" s="1"/>
  <c r="AS79"/>
  <c r="AK79"/>
  <c r="AO79" s="1"/>
  <c r="AJ79"/>
  <c r="M79"/>
  <c r="N79" s="1"/>
  <c r="AT78"/>
  <c r="AV78" s="1"/>
  <c r="AS78"/>
  <c r="AK78"/>
  <c r="AO78" s="1"/>
  <c r="AJ78"/>
  <c r="N78"/>
  <c r="M78"/>
  <c r="AV77"/>
  <c r="AU77"/>
  <c r="AS77"/>
  <c r="AK77"/>
  <c r="AO77" s="1"/>
  <c r="AJ77"/>
  <c r="M77"/>
  <c r="N77" s="1"/>
  <c r="AV76"/>
  <c r="AU76"/>
  <c r="AS76"/>
  <c r="AK76"/>
  <c r="AO76" s="1"/>
  <c r="AJ76"/>
  <c r="N76"/>
  <c r="M76"/>
  <c r="AV75"/>
  <c r="AR75"/>
  <c r="AU75" s="1"/>
  <c r="AK75"/>
  <c r="AO75" s="1"/>
  <c r="AJ75"/>
  <c r="M75"/>
  <c r="N75" s="1"/>
  <c r="AV74"/>
  <c r="AR74"/>
  <c r="AS74" s="1"/>
  <c r="AK74"/>
  <c r="AO74" s="1"/>
  <c r="AJ74"/>
  <c r="M74"/>
  <c r="N74" s="1"/>
  <c r="AV73"/>
  <c r="AU73"/>
  <c r="AS73"/>
  <c r="AL73"/>
  <c r="AK73"/>
  <c r="AO73" s="1"/>
  <c r="AJ73"/>
  <c r="M73"/>
  <c r="N73" s="1"/>
  <c r="AV72"/>
  <c r="AV71"/>
  <c r="AU71"/>
  <c r="AS71"/>
  <c r="AK71"/>
  <c r="AJ71"/>
  <c r="M71"/>
  <c r="N71" s="1"/>
  <c r="AV70"/>
  <c r="AU70"/>
  <c r="AS70"/>
  <c r="AO70"/>
  <c r="AK70"/>
  <c r="AJ70"/>
  <c r="M70"/>
  <c r="N70" s="1"/>
  <c r="AV69"/>
  <c r="AU69"/>
  <c r="AS69"/>
  <c r="AK69"/>
  <c r="AO69" s="1"/>
  <c r="AJ69"/>
  <c r="M69"/>
  <c r="N69" s="1"/>
  <c r="AV68"/>
  <c r="AU68"/>
  <c r="AS68"/>
  <c r="AO68"/>
  <c r="AK68"/>
  <c r="AJ68"/>
  <c r="M68"/>
  <c r="N68" s="1"/>
  <c r="AV67"/>
  <c r="AU67"/>
  <c r="AS67"/>
  <c r="AK67"/>
  <c r="AO67" s="1"/>
  <c r="AJ67"/>
  <c r="M67"/>
  <c r="N67" s="1"/>
  <c r="AV66"/>
  <c r="AU66"/>
  <c r="AS66"/>
  <c r="AO66"/>
  <c r="AK66"/>
  <c r="AJ66"/>
  <c r="M66"/>
  <c r="N66" s="1"/>
  <c r="AV65"/>
  <c r="AU65"/>
  <c r="AS65"/>
  <c r="AK65"/>
  <c r="AO65" s="1"/>
  <c r="AJ65"/>
  <c r="M65"/>
  <c r="N65" s="1"/>
  <c r="AV64"/>
  <c r="AU64"/>
  <c r="AS64"/>
  <c r="AO64"/>
  <c r="AK64"/>
  <c r="AJ64"/>
  <c r="M64"/>
  <c r="N64" s="1"/>
  <c r="AV63"/>
  <c r="AU63"/>
  <c r="AS63"/>
  <c r="AK63"/>
  <c r="AO63" s="1"/>
  <c r="AJ63"/>
  <c r="M63"/>
  <c r="N63" s="1"/>
  <c r="AV62"/>
  <c r="AU62"/>
  <c r="AS62"/>
  <c r="AO62"/>
  <c r="AK62"/>
  <c r="AJ62"/>
  <c r="M62"/>
  <c r="N62" s="1"/>
  <c r="AV61"/>
  <c r="AU61"/>
  <c r="AS61"/>
  <c r="AK61"/>
  <c r="AO61" s="1"/>
  <c r="AJ61"/>
  <c r="M61"/>
  <c r="N61" s="1"/>
  <c r="AV60"/>
  <c r="AU60"/>
  <c r="AS60"/>
  <c r="AO60"/>
  <c r="AK60"/>
  <c r="AJ60"/>
  <c r="M60"/>
  <c r="N60" s="1"/>
  <c r="AV59"/>
  <c r="AU59"/>
  <c r="AS59"/>
  <c r="AK59"/>
  <c r="AO59" s="1"/>
  <c r="AJ59"/>
  <c r="M59"/>
  <c r="N59" s="1"/>
  <c r="AV58"/>
  <c r="AU58"/>
  <c r="AS58"/>
  <c r="AO58"/>
  <c r="AK58"/>
  <c r="AJ58"/>
  <c r="M58"/>
  <c r="N58" s="1"/>
  <c r="AU57"/>
  <c r="AS57"/>
  <c r="AK57"/>
  <c r="AO57" s="1"/>
  <c r="AJ57"/>
  <c r="M57"/>
  <c r="N57" s="1"/>
  <c r="AV56"/>
  <c r="AS56"/>
  <c r="AK56"/>
  <c r="AO56" s="1"/>
  <c r="AJ56"/>
  <c r="N56"/>
  <c r="M56"/>
  <c r="AV55"/>
  <c r="AU55"/>
  <c r="AS55"/>
  <c r="AL55"/>
  <c r="AM55" s="1"/>
  <c r="AK55"/>
  <c r="AJ55"/>
  <c r="M55"/>
  <c r="N55" s="1"/>
  <c r="AV54"/>
  <c r="AU54"/>
  <c r="AS54"/>
  <c r="AK54"/>
  <c r="AO54" s="1"/>
  <c r="AJ54"/>
  <c r="N54"/>
  <c r="M54"/>
  <c r="AS52"/>
  <c r="AK52"/>
  <c r="AJ52"/>
  <c r="M52"/>
  <c r="N52" s="1"/>
  <c r="AV51"/>
  <c r="AS51"/>
  <c r="AK51"/>
  <c r="AO51" s="1"/>
  <c r="AJ51"/>
  <c r="M51"/>
  <c r="N51" s="1"/>
  <c r="AT50"/>
  <c r="AU50" s="1"/>
  <c r="AS50"/>
  <c r="AK50"/>
  <c r="AO50" s="1"/>
  <c r="AJ50"/>
  <c r="M50"/>
  <c r="N50" s="1"/>
  <c r="AT49"/>
  <c r="AV49" s="1"/>
  <c r="AS49"/>
  <c r="AK49"/>
  <c r="AO49" s="1"/>
  <c r="AJ49"/>
  <c r="N49"/>
  <c r="M49"/>
  <c r="AT48"/>
  <c r="AU48" s="1"/>
  <c r="AS48"/>
  <c r="AO48"/>
  <c r="AK48"/>
  <c r="AJ48"/>
  <c r="M48"/>
  <c r="N48" s="1"/>
  <c r="AU47"/>
  <c r="AT47"/>
  <c r="AV47" s="1"/>
  <c r="AS47"/>
  <c r="AK47"/>
  <c r="AO47" s="1"/>
  <c r="AJ47"/>
  <c r="M47"/>
  <c r="N47" s="1"/>
  <c r="AT46"/>
  <c r="AU46" s="1"/>
  <c r="AS46"/>
  <c r="AK46"/>
  <c r="AO46" s="1"/>
  <c r="AJ46"/>
  <c r="M46"/>
  <c r="N46" s="1"/>
  <c r="AV45"/>
  <c r="AU45"/>
  <c r="AS45"/>
  <c r="AO45"/>
  <c r="AK45"/>
  <c r="AJ45"/>
  <c r="M45"/>
  <c r="N45" s="1"/>
  <c r="AV44"/>
  <c r="AU44"/>
  <c r="AS44"/>
  <c r="AK44"/>
  <c r="AO44" s="1"/>
  <c r="AJ44"/>
  <c r="M44"/>
  <c r="N44" s="1"/>
  <c r="AV43"/>
  <c r="AU43"/>
  <c r="AS43"/>
  <c r="AM43"/>
  <c r="AK43"/>
  <c r="AJ43"/>
  <c r="M43"/>
  <c r="N43" s="1"/>
  <c r="AT42"/>
  <c r="AU42" s="1"/>
  <c r="AS42"/>
  <c r="AK42"/>
  <c r="AO42" s="1"/>
  <c r="AJ42"/>
  <c r="M42"/>
  <c r="N42" s="1"/>
  <c r="AV41"/>
  <c r="AU41"/>
  <c r="AS41"/>
  <c r="AO41"/>
  <c r="AK41"/>
  <c r="AJ41"/>
  <c r="M41"/>
  <c r="N41" s="1"/>
  <c r="AV40"/>
  <c r="AU40"/>
  <c r="AS40"/>
  <c r="AM40"/>
  <c r="AL40"/>
  <c r="AK40"/>
  <c r="AO40" s="1"/>
  <c r="AJ40"/>
  <c r="M40"/>
  <c r="N40" s="1"/>
  <c r="AT39"/>
  <c r="AV39" s="1"/>
  <c r="AS39"/>
  <c r="AK39"/>
  <c r="AO39" s="1"/>
  <c r="AJ39"/>
  <c r="N39"/>
  <c r="M39"/>
  <c r="AV37"/>
  <c r="AU37"/>
  <c r="AS37"/>
  <c r="AM37"/>
  <c r="AL37"/>
  <c r="AK37"/>
  <c r="AO37" s="1"/>
  <c r="AJ37"/>
  <c r="M37"/>
  <c r="N37" s="1"/>
  <c r="AV36"/>
  <c r="AU36"/>
  <c r="AS36"/>
  <c r="AK36"/>
  <c r="AO36" s="1"/>
  <c r="AJ36"/>
  <c r="N36"/>
  <c r="M36"/>
  <c r="AV35"/>
  <c r="AU35"/>
  <c r="AS35"/>
  <c r="AM35"/>
  <c r="AL35"/>
  <c r="AK35"/>
  <c r="AO35" s="1"/>
  <c r="AJ35"/>
  <c r="M35"/>
  <c r="N35" s="1"/>
  <c r="AV34"/>
  <c r="AU34"/>
  <c r="AS34"/>
  <c r="AK34"/>
  <c r="AO34" s="1"/>
  <c r="AJ34"/>
  <c r="N34"/>
  <c r="M34"/>
  <c r="AT33"/>
  <c r="AU33" s="1"/>
  <c r="AS33"/>
  <c r="AM33"/>
  <c r="AK33"/>
  <c r="AJ33"/>
  <c r="M33"/>
  <c r="N33" s="1"/>
  <c r="AV32"/>
  <c r="AO32"/>
  <c r="AM32"/>
  <c r="AL32"/>
  <c r="AK32"/>
  <c r="AJ32"/>
  <c r="M32"/>
  <c r="N32" s="1"/>
  <c r="AV31"/>
  <c r="AL31"/>
  <c r="AR31" s="1"/>
  <c r="AK31"/>
  <c r="AO31" s="1"/>
  <c r="AJ31"/>
  <c r="M31"/>
  <c r="N31" s="1"/>
  <c r="AV30"/>
  <c r="AM30"/>
  <c r="AR30" s="1"/>
  <c r="AL30"/>
  <c r="AK30"/>
  <c r="AO30" s="1"/>
  <c r="AJ30"/>
  <c r="N30"/>
  <c r="M30"/>
  <c r="AV29"/>
  <c r="AU29"/>
  <c r="AS29"/>
  <c r="AO29"/>
  <c r="AM29"/>
  <c r="AK29"/>
  <c r="AJ29"/>
  <c r="M29"/>
  <c r="N29" s="1"/>
  <c r="AV28"/>
  <c r="AU28"/>
  <c r="AS28"/>
  <c r="AO28"/>
  <c r="AK28"/>
  <c r="AJ28"/>
  <c r="M28"/>
  <c r="N28" s="1"/>
  <c r="AT27"/>
  <c r="AV27" s="1"/>
  <c r="AS27"/>
  <c r="AK27"/>
  <c r="AO27" s="1"/>
  <c r="AJ27"/>
  <c r="N27"/>
  <c r="M27"/>
  <c r="AV26"/>
  <c r="AU26"/>
  <c r="AS26"/>
  <c r="AO26"/>
  <c r="AM26"/>
  <c r="AL26"/>
  <c r="AK26"/>
  <c r="AJ26"/>
  <c r="AT25"/>
  <c r="AU25" s="1"/>
  <c r="AS25"/>
  <c r="AO25"/>
  <c r="AK25"/>
  <c r="AJ25"/>
  <c r="M25"/>
  <c r="N25" s="1"/>
  <c r="AV24"/>
  <c r="AU24"/>
  <c r="AS24"/>
  <c r="AO24"/>
  <c r="AL24"/>
  <c r="AM24" s="1"/>
  <c r="AK24"/>
  <c r="AJ24"/>
  <c r="AV23"/>
  <c r="AU23"/>
  <c r="AS23"/>
  <c r="AO23"/>
  <c r="AK23"/>
  <c r="AJ23"/>
  <c r="M23"/>
  <c r="N23" s="1"/>
  <c r="AU22"/>
  <c r="AT22"/>
  <c r="AV22" s="1"/>
  <c r="AS22"/>
  <c r="AO22"/>
  <c r="AM22"/>
  <c r="AL22"/>
  <c r="AK22"/>
  <c r="AJ22"/>
  <c r="N22"/>
  <c r="M22"/>
  <c r="AV21"/>
  <c r="AU21"/>
  <c r="AS21"/>
  <c r="AK21"/>
  <c r="AO21" s="1"/>
  <c r="AJ21"/>
  <c r="M21"/>
  <c r="N21" s="1"/>
  <c r="AV20"/>
  <c r="AU20"/>
  <c r="AS20"/>
  <c r="AK20"/>
  <c r="AO20" s="1"/>
  <c r="AJ20"/>
  <c r="N20"/>
  <c r="M20"/>
  <c r="AV19"/>
  <c r="AU19"/>
  <c r="AS19"/>
  <c r="AK19"/>
  <c r="AO19" s="1"/>
  <c r="AJ19"/>
  <c r="M19"/>
  <c r="N19" s="1"/>
  <c r="AV18"/>
  <c r="AU18"/>
  <c r="AS18"/>
  <c r="AK18"/>
  <c r="AO18" s="1"/>
  <c r="AJ18"/>
  <c r="N18"/>
  <c r="M18"/>
  <c r="AV17"/>
  <c r="AU17"/>
  <c r="AS17"/>
  <c r="AL17"/>
  <c r="AK17"/>
  <c r="AK98" s="1"/>
  <c r="AJ17"/>
  <c r="N17"/>
  <c r="M17"/>
  <c r="AT83" i="51"/>
  <c r="AT38"/>
  <c r="AV38" s="1"/>
  <c r="AT82"/>
  <c r="AV82" s="1"/>
  <c r="AT50"/>
  <c r="AV50" s="1"/>
  <c r="AT49"/>
  <c r="AV49" s="1"/>
  <c r="AT48"/>
  <c r="AU48" s="1"/>
  <c r="AQ95"/>
  <c r="AP95"/>
  <c r="AN95"/>
  <c r="AI95"/>
  <c r="AH95"/>
  <c r="AG95"/>
  <c r="AF95"/>
  <c r="AD95"/>
  <c r="AC95"/>
  <c r="AB95"/>
  <c r="T95"/>
  <c r="R95"/>
  <c r="P95"/>
  <c r="K95"/>
  <c r="AV94"/>
  <c r="AU94"/>
  <c r="AS94"/>
  <c r="AJ94"/>
  <c r="AE94"/>
  <c r="AK94" s="1"/>
  <c r="AO94" s="1"/>
  <c r="N94"/>
  <c r="M94"/>
  <c r="AV92"/>
  <c r="AU92"/>
  <c r="AS92"/>
  <c r="AK92"/>
  <c r="AO92" s="1"/>
  <c r="AJ92"/>
  <c r="N92"/>
  <c r="M92"/>
  <c r="AV91"/>
  <c r="AU91"/>
  <c r="AS91"/>
  <c r="AK91"/>
  <c r="AO91" s="1"/>
  <c r="AJ91"/>
  <c r="N91"/>
  <c r="M91"/>
  <c r="AV90"/>
  <c r="AU90"/>
  <c r="AS90"/>
  <c r="AK90"/>
  <c r="AO90" s="1"/>
  <c r="AJ90"/>
  <c r="N90"/>
  <c r="M90"/>
  <c r="AT89"/>
  <c r="AU89" s="1"/>
  <c r="AS89"/>
  <c r="AO89"/>
  <c r="AK89"/>
  <c r="AJ89"/>
  <c r="M89"/>
  <c r="N89" s="1"/>
  <c r="AV88"/>
  <c r="AU88"/>
  <c r="AS88"/>
  <c r="AO88"/>
  <c r="AK88"/>
  <c r="AJ88"/>
  <c r="M88"/>
  <c r="N88" s="1"/>
  <c r="AV87"/>
  <c r="AU87"/>
  <c r="AS87"/>
  <c r="AO87"/>
  <c r="AK87"/>
  <c r="AJ87"/>
  <c r="M87"/>
  <c r="N87" s="1"/>
  <c r="AV85"/>
  <c r="AU85"/>
  <c r="AS85"/>
  <c r="AK85"/>
  <c r="AJ85"/>
  <c r="N85"/>
  <c r="M85"/>
  <c r="AV84"/>
  <c r="AU84"/>
  <c r="AS84"/>
  <c r="AK84"/>
  <c r="AO84" s="1"/>
  <c r="AJ84"/>
  <c r="N84"/>
  <c r="M84"/>
  <c r="AU83"/>
  <c r="AS83"/>
  <c r="AL83"/>
  <c r="AM83" s="1"/>
  <c r="AO83" s="1"/>
  <c r="AK83"/>
  <c r="AJ83"/>
  <c r="M83"/>
  <c r="N83" s="1"/>
  <c r="AU82"/>
  <c r="AS82"/>
  <c r="AK82"/>
  <c r="AO82" s="1"/>
  <c r="AJ82"/>
  <c r="N82"/>
  <c r="M82"/>
  <c r="AT81"/>
  <c r="AU81" s="1"/>
  <c r="AS81"/>
  <c r="AO81"/>
  <c r="AK81"/>
  <c r="AJ81"/>
  <c r="M81"/>
  <c r="N81" s="1"/>
  <c r="AV80"/>
  <c r="AU80"/>
  <c r="AS80"/>
  <c r="AO80"/>
  <c r="AK80"/>
  <c r="AJ80"/>
  <c r="M80"/>
  <c r="N80" s="1"/>
  <c r="AU79"/>
  <c r="AT79"/>
  <c r="AV79" s="1"/>
  <c r="AS79"/>
  <c r="AK79"/>
  <c r="AO79" s="1"/>
  <c r="AJ79"/>
  <c r="N79"/>
  <c r="M79"/>
  <c r="AT78"/>
  <c r="AU78" s="1"/>
  <c r="AS78"/>
  <c r="AO78"/>
  <c r="AK78"/>
  <c r="AJ78"/>
  <c r="M78"/>
  <c r="N78" s="1"/>
  <c r="AU77"/>
  <c r="AT77"/>
  <c r="AV77" s="1"/>
  <c r="AS77"/>
  <c r="AK77"/>
  <c r="AO77" s="1"/>
  <c r="AJ77"/>
  <c r="N77"/>
  <c r="M77"/>
  <c r="AV76"/>
  <c r="AU76"/>
  <c r="AS76"/>
  <c r="AK76"/>
  <c r="AO76" s="1"/>
  <c r="AJ76"/>
  <c r="N76"/>
  <c r="M76"/>
  <c r="AV75"/>
  <c r="AU75"/>
  <c r="AS75"/>
  <c r="AK75"/>
  <c r="AO75" s="1"/>
  <c r="AJ75"/>
  <c r="N75"/>
  <c r="M75"/>
  <c r="AV74"/>
  <c r="AS74"/>
  <c r="AR74"/>
  <c r="AU74" s="1"/>
  <c r="AO74"/>
  <c r="AK74"/>
  <c r="AJ74"/>
  <c r="M74"/>
  <c r="N74" s="1"/>
  <c r="AV73"/>
  <c r="AR73"/>
  <c r="AS73" s="1"/>
  <c r="AK73"/>
  <c r="AO73" s="1"/>
  <c r="AJ73"/>
  <c r="N73"/>
  <c r="M73"/>
  <c r="AV72"/>
  <c r="AU72"/>
  <c r="AS72"/>
  <c r="AL72"/>
  <c r="AK72"/>
  <c r="AO72" s="1"/>
  <c r="AJ72"/>
  <c r="M72"/>
  <c r="N72" s="1"/>
  <c r="AV71"/>
  <c r="AV70"/>
  <c r="AU70"/>
  <c r="AS70"/>
  <c r="AK70"/>
  <c r="AJ70"/>
  <c r="M70"/>
  <c r="N70" s="1"/>
  <c r="AV69"/>
  <c r="AU69"/>
  <c r="AS69"/>
  <c r="AO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V58"/>
  <c r="AU58"/>
  <c r="AS58"/>
  <c r="AO58"/>
  <c r="AK58"/>
  <c r="AJ58"/>
  <c r="M58"/>
  <c r="N58" s="1"/>
  <c r="AV57"/>
  <c r="AU57"/>
  <c r="AS57"/>
  <c r="AO57"/>
  <c r="AK57"/>
  <c r="AJ57"/>
  <c r="M57"/>
  <c r="N57" s="1"/>
  <c r="AV56"/>
  <c r="AU56"/>
  <c r="AS56"/>
  <c r="AO56"/>
  <c r="AK56"/>
  <c r="AJ56"/>
  <c r="M56"/>
  <c r="N56" s="1"/>
  <c r="AU55"/>
  <c r="AT55"/>
  <c r="AV55" s="1"/>
  <c r="AS55"/>
  <c r="AK55"/>
  <c r="AO55" s="1"/>
  <c r="AJ55"/>
  <c r="N55"/>
  <c r="M55"/>
  <c r="AV54"/>
  <c r="AU54"/>
  <c r="AS54"/>
  <c r="AM54"/>
  <c r="AL54"/>
  <c r="AK54"/>
  <c r="AO54" s="1"/>
  <c r="AJ54"/>
  <c r="N54"/>
  <c r="M54"/>
  <c r="AV53"/>
  <c r="AU53"/>
  <c r="AS53"/>
  <c r="AK53"/>
  <c r="AO53" s="1"/>
  <c r="AJ53"/>
  <c r="N53"/>
  <c r="M53"/>
  <c r="AV51"/>
  <c r="AU51"/>
  <c r="AS51"/>
  <c r="AK51"/>
  <c r="AJ51"/>
  <c r="M51"/>
  <c r="N51" s="1"/>
  <c r="AU50"/>
  <c r="AS50"/>
  <c r="AO50"/>
  <c r="AK50"/>
  <c r="AJ50"/>
  <c r="M50"/>
  <c r="N50" s="1"/>
  <c r="AU49"/>
  <c r="AS49"/>
  <c r="AO49"/>
  <c r="AK49"/>
  <c r="AJ49"/>
  <c r="M49"/>
  <c r="N49" s="1"/>
  <c r="AV48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T45"/>
  <c r="AU45" s="1"/>
  <c r="AS45"/>
  <c r="AO45"/>
  <c r="AK45"/>
  <c r="AJ45"/>
  <c r="M45"/>
  <c r="N45" s="1"/>
  <c r="AV44"/>
  <c r="AU44"/>
  <c r="AS44"/>
  <c r="AO44"/>
  <c r="AK44"/>
  <c r="AJ44"/>
  <c r="M44"/>
  <c r="N44" s="1"/>
  <c r="AV43"/>
  <c r="AU43"/>
  <c r="AS43"/>
  <c r="AO43"/>
  <c r="AK43"/>
  <c r="AJ43"/>
  <c r="M43"/>
  <c r="N43" s="1"/>
  <c r="AV42"/>
  <c r="AU42"/>
  <c r="AS42"/>
  <c r="AM42"/>
  <c r="AK42"/>
  <c r="AO42" s="1"/>
  <c r="AJ42"/>
  <c r="N42"/>
  <c r="M42"/>
  <c r="AT41"/>
  <c r="AU41" s="1"/>
  <c r="AS41"/>
  <c r="AO41"/>
  <c r="AK41"/>
  <c r="AJ41"/>
  <c r="M41"/>
  <c r="N41" s="1"/>
  <c r="AV40"/>
  <c r="AU40"/>
  <c r="AS40"/>
  <c r="AO40"/>
  <c r="AK40"/>
  <c r="AJ40"/>
  <c r="M40"/>
  <c r="N40" s="1"/>
  <c r="AV39"/>
  <c r="AU39"/>
  <c r="AS39"/>
  <c r="AO39"/>
  <c r="AM39"/>
  <c r="AL39"/>
  <c r="AK39"/>
  <c r="AJ39"/>
  <c r="M39"/>
  <c r="N39" s="1"/>
  <c r="AU38"/>
  <c r="AS38"/>
  <c r="AO38"/>
  <c r="AK38"/>
  <c r="AJ38"/>
  <c r="M38"/>
  <c r="N38" s="1"/>
  <c r="AV37"/>
  <c r="AU37"/>
  <c r="AS37"/>
  <c r="AO37"/>
  <c r="AM37"/>
  <c r="AL37"/>
  <c r="AK37"/>
  <c r="AJ37"/>
  <c r="M37"/>
  <c r="N37" s="1"/>
  <c r="AV36"/>
  <c r="AU36"/>
  <c r="AS36"/>
  <c r="AO36"/>
  <c r="AK36"/>
  <c r="AJ36"/>
  <c r="M36"/>
  <c r="N36" s="1"/>
  <c r="AV35"/>
  <c r="AU35"/>
  <c r="AS35"/>
  <c r="AO35"/>
  <c r="AM35"/>
  <c r="AL35"/>
  <c r="AK35"/>
  <c r="AJ35"/>
  <c r="M35"/>
  <c r="N35" s="1"/>
  <c r="AV34"/>
  <c r="AU34"/>
  <c r="AS34"/>
  <c r="AO34"/>
  <c r="AK34"/>
  <c r="AJ34"/>
  <c r="M34"/>
  <c r="N34" s="1"/>
  <c r="AU33"/>
  <c r="AT33"/>
  <c r="AV33" s="1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T27"/>
  <c r="AU27" s="1"/>
  <c r="AS27"/>
  <c r="AO27"/>
  <c r="AK27"/>
  <c r="AJ27"/>
  <c r="M27"/>
  <c r="N27" s="1"/>
  <c r="AV26"/>
  <c r="AU26"/>
  <c r="AS26"/>
  <c r="AO26"/>
  <c r="AL26"/>
  <c r="AM26" s="1"/>
  <c r="AK26"/>
  <c r="AJ26"/>
  <c r="AU25"/>
  <c r="AT25"/>
  <c r="AV25" s="1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T22"/>
  <c r="AU22" s="1"/>
  <c r="AS22"/>
  <c r="AO22"/>
  <c r="AM22"/>
  <c r="AM95" s="1"/>
  <c r="AL22"/>
  <c r="AK22"/>
  <c r="AJ22"/>
  <c r="M22"/>
  <c r="N22" s="1"/>
  <c r="AV21"/>
  <c r="AU21"/>
  <c r="AS21"/>
  <c r="AO21"/>
  <c r="AK21"/>
  <c r="AJ21"/>
  <c r="M21"/>
  <c r="N21" s="1"/>
  <c r="AV20"/>
  <c r="AU20"/>
  <c r="AS20"/>
  <c r="AO20"/>
  <c r="AK20"/>
  <c r="AJ20"/>
  <c r="M20"/>
  <c r="N20" s="1"/>
  <c r="AV19"/>
  <c r="AU19"/>
  <c r="AS19"/>
  <c r="AO19"/>
  <c r="AK19"/>
  <c r="AJ19"/>
  <c r="M19"/>
  <c r="N19" s="1"/>
  <c r="AV18"/>
  <c r="AU18"/>
  <c r="AS18"/>
  <c r="AO18"/>
  <c r="AK18"/>
  <c r="AJ18"/>
  <c r="M18"/>
  <c r="N18" s="1"/>
  <c r="AV17"/>
  <c r="AU17"/>
  <c r="AS17"/>
  <c r="AL17"/>
  <c r="AL95" s="1"/>
  <c r="AK17"/>
  <c r="AK95" s="1"/>
  <c r="AJ17"/>
  <c r="AJ95" s="1"/>
  <c r="M17"/>
  <c r="N17" s="1"/>
  <c r="AV71" i="50"/>
  <c r="AT83"/>
  <c r="AU83" s="1"/>
  <c r="AT79"/>
  <c r="AU79" s="1"/>
  <c r="AT78"/>
  <c r="AU78" s="1"/>
  <c r="AT77"/>
  <c r="AU77" s="1"/>
  <c r="AT33"/>
  <c r="AU33" s="1"/>
  <c r="AQ95"/>
  <c r="AP95"/>
  <c r="AN95"/>
  <c r="AI95"/>
  <c r="AH95"/>
  <c r="AG95"/>
  <c r="AF95"/>
  <c r="AD95"/>
  <c r="AC95"/>
  <c r="AB95"/>
  <c r="T95"/>
  <c r="R95"/>
  <c r="P95"/>
  <c r="K95"/>
  <c r="AV94"/>
  <c r="AU94"/>
  <c r="AS94"/>
  <c r="AJ94"/>
  <c r="AE94"/>
  <c r="AK94" s="1"/>
  <c r="AO94" s="1"/>
  <c r="N94"/>
  <c r="M94"/>
  <c r="AV92"/>
  <c r="AU92"/>
  <c r="AS92"/>
  <c r="AK92"/>
  <c r="AO92" s="1"/>
  <c r="AJ92"/>
  <c r="N92"/>
  <c r="M92"/>
  <c r="AV91"/>
  <c r="AU91"/>
  <c r="AS91"/>
  <c r="AK91"/>
  <c r="AO91" s="1"/>
  <c r="AJ91"/>
  <c r="N91"/>
  <c r="M91"/>
  <c r="AV90"/>
  <c r="AU90"/>
  <c r="AS90"/>
  <c r="AK90"/>
  <c r="AO90" s="1"/>
  <c r="AJ90"/>
  <c r="N90"/>
  <c r="M90"/>
  <c r="AT89"/>
  <c r="AU89" s="1"/>
  <c r="AS89"/>
  <c r="AO89"/>
  <c r="AK89"/>
  <c r="AJ89"/>
  <c r="M89"/>
  <c r="N89" s="1"/>
  <c r="AV88"/>
  <c r="AU88"/>
  <c r="AS88"/>
  <c r="AO88"/>
  <c r="AK88"/>
  <c r="AJ88"/>
  <c r="M88"/>
  <c r="N88" s="1"/>
  <c r="AV87"/>
  <c r="AU87"/>
  <c r="AS87"/>
  <c r="AO87"/>
  <c r="AK87"/>
  <c r="AJ87"/>
  <c r="M87"/>
  <c r="N87" s="1"/>
  <c r="AV85"/>
  <c r="AU85"/>
  <c r="AS85"/>
  <c r="AK85"/>
  <c r="AJ85"/>
  <c r="N85"/>
  <c r="M85"/>
  <c r="AV84"/>
  <c r="AU84"/>
  <c r="AS84"/>
  <c r="AK84"/>
  <c r="AO84" s="1"/>
  <c r="AJ84"/>
  <c r="N84"/>
  <c r="M84"/>
  <c r="AS83"/>
  <c r="AL83"/>
  <c r="AM83" s="1"/>
  <c r="AO83" s="1"/>
  <c r="AK83"/>
  <c r="AJ83"/>
  <c r="M83"/>
  <c r="N83" s="1"/>
  <c r="AU82"/>
  <c r="AT82"/>
  <c r="AV82" s="1"/>
  <c r="AS82"/>
  <c r="AK82"/>
  <c r="AO82" s="1"/>
  <c r="AJ82"/>
  <c r="N82"/>
  <c r="M82"/>
  <c r="AT81"/>
  <c r="AU81" s="1"/>
  <c r="AS81"/>
  <c r="AO81"/>
  <c r="AK81"/>
  <c r="AJ81"/>
  <c r="M81"/>
  <c r="N81" s="1"/>
  <c r="AV80"/>
  <c r="AU80"/>
  <c r="AS80"/>
  <c r="AO80"/>
  <c r="AK80"/>
  <c r="AJ80"/>
  <c r="M80"/>
  <c r="N80" s="1"/>
  <c r="AV79"/>
  <c r="AS79"/>
  <c r="AO79"/>
  <c r="AK79"/>
  <c r="AJ79"/>
  <c r="M79"/>
  <c r="N79" s="1"/>
  <c r="AV78"/>
  <c r="AS78"/>
  <c r="AO78"/>
  <c r="AK78"/>
  <c r="AJ78"/>
  <c r="M78"/>
  <c r="N78" s="1"/>
  <c r="AV77"/>
  <c r="AS77"/>
  <c r="AO77"/>
  <c r="AK77"/>
  <c r="AJ77"/>
  <c r="M77"/>
  <c r="N77" s="1"/>
  <c r="AV76"/>
  <c r="AU76"/>
  <c r="AS76"/>
  <c r="AO76"/>
  <c r="AK76"/>
  <c r="AJ76"/>
  <c r="M76"/>
  <c r="N76" s="1"/>
  <c r="AV75"/>
  <c r="AU75"/>
  <c r="AS75"/>
  <c r="AO75"/>
  <c r="AK75"/>
  <c r="AJ75"/>
  <c r="M75"/>
  <c r="N75" s="1"/>
  <c r="AV74"/>
  <c r="AR74"/>
  <c r="AS74" s="1"/>
  <c r="AK74"/>
  <c r="AO74" s="1"/>
  <c r="AJ74"/>
  <c r="N74"/>
  <c r="M74"/>
  <c r="AV73"/>
  <c r="AS73"/>
  <c r="AR73"/>
  <c r="AU73" s="1"/>
  <c r="AO73"/>
  <c r="AK73"/>
  <c r="AJ73"/>
  <c r="M73"/>
  <c r="N73" s="1"/>
  <c r="AV72"/>
  <c r="AU72"/>
  <c r="AS72"/>
  <c r="AL72"/>
  <c r="AK72"/>
  <c r="AO72" s="1"/>
  <c r="AJ72"/>
  <c r="N72"/>
  <c r="M72"/>
  <c r="AV70"/>
  <c r="AU70"/>
  <c r="AS70"/>
  <c r="AK70"/>
  <c r="AJ70"/>
  <c r="M70"/>
  <c r="N70" s="1"/>
  <c r="AV69"/>
  <c r="AU69"/>
  <c r="AS69"/>
  <c r="AO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V58"/>
  <c r="AU58"/>
  <c r="AS58"/>
  <c r="AO58"/>
  <c r="AK58"/>
  <c r="AJ58"/>
  <c r="M58"/>
  <c r="N58" s="1"/>
  <c r="AV57"/>
  <c r="AU57"/>
  <c r="AS57"/>
  <c r="AO57"/>
  <c r="AK57"/>
  <c r="AJ57"/>
  <c r="M57"/>
  <c r="N57" s="1"/>
  <c r="AV56"/>
  <c r="AU56"/>
  <c r="AS56"/>
  <c r="AO56"/>
  <c r="AK56"/>
  <c r="AJ56"/>
  <c r="M56"/>
  <c r="N56" s="1"/>
  <c r="AU55"/>
  <c r="AT55"/>
  <c r="AV55" s="1"/>
  <c r="AS55"/>
  <c r="AK55"/>
  <c r="AO55" s="1"/>
  <c r="AJ55"/>
  <c r="N55"/>
  <c r="M55"/>
  <c r="AV54"/>
  <c r="AU54"/>
  <c r="AS54"/>
  <c r="AM54"/>
  <c r="AL54"/>
  <c r="AK54"/>
  <c r="AO54" s="1"/>
  <c r="AJ54"/>
  <c r="N54"/>
  <c r="M54"/>
  <c r="AV53"/>
  <c r="AU53"/>
  <c r="AS53"/>
  <c r="AK53"/>
  <c r="AO53" s="1"/>
  <c r="AJ53"/>
  <c r="N53"/>
  <c r="M53"/>
  <c r="AV51"/>
  <c r="AU51"/>
  <c r="AS51"/>
  <c r="AK51"/>
  <c r="AJ51"/>
  <c r="M51"/>
  <c r="N51" s="1"/>
  <c r="AV50"/>
  <c r="AU50"/>
  <c r="AS50"/>
  <c r="AO50"/>
  <c r="AK50"/>
  <c r="AJ50"/>
  <c r="M50"/>
  <c r="N50" s="1"/>
  <c r="AV49"/>
  <c r="AU49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T45"/>
  <c r="AU45" s="1"/>
  <c r="AS45"/>
  <c r="AO45"/>
  <c r="AK45"/>
  <c r="AJ45"/>
  <c r="M45"/>
  <c r="N45" s="1"/>
  <c r="AV44"/>
  <c r="AU44"/>
  <c r="AS44"/>
  <c r="AO44"/>
  <c r="AK44"/>
  <c r="AJ44"/>
  <c r="M44"/>
  <c r="N44" s="1"/>
  <c r="AV43"/>
  <c r="AU43"/>
  <c r="AS43"/>
  <c r="AO43"/>
  <c r="AK43"/>
  <c r="AJ43"/>
  <c r="M43"/>
  <c r="N43" s="1"/>
  <c r="AV42"/>
  <c r="AU42"/>
  <c r="AS42"/>
  <c r="AM42"/>
  <c r="AK42"/>
  <c r="AO42" s="1"/>
  <c r="AJ42"/>
  <c r="N42"/>
  <c r="M42"/>
  <c r="AT41"/>
  <c r="AU41" s="1"/>
  <c r="AS41"/>
  <c r="AO41"/>
  <c r="AK41"/>
  <c r="AJ41"/>
  <c r="M41"/>
  <c r="N41" s="1"/>
  <c r="AV40"/>
  <c r="AU40"/>
  <c r="AS40"/>
  <c r="AO40"/>
  <c r="AK40"/>
  <c r="AJ40"/>
  <c r="M40"/>
  <c r="N40" s="1"/>
  <c r="AV39"/>
  <c r="AU39"/>
  <c r="AS39"/>
  <c r="AO39"/>
  <c r="AM39"/>
  <c r="AL39"/>
  <c r="AK39"/>
  <c r="AJ39"/>
  <c r="M39"/>
  <c r="N39" s="1"/>
  <c r="AV38"/>
  <c r="AU38"/>
  <c r="AS38"/>
  <c r="AO38"/>
  <c r="AK38"/>
  <c r="AJ38"/>
  <c r="M38"/>
  <c r="N38" s="1"/>
  <c r="AV37"/>
  <c r="AU37"/>
  <c r="AS37"/>
  <c r="AO37"/>
  <c r="AM37"/>
  <c r="AL37"/>
  <c r="AK37"/>
  <c r="AJ37"/>
  <c r="M37"/>
  <c r="N37" s="1"/>
  <c r="AV36"/>
  <c r="AU36"/>
  <c r="AS36"/>
  <c r="AO36"/>
  <c r="AK36"/>
  <c r="AJ36"/>
  <c r="M36"/>
  <c r="N36" s="1"/>
  <c r="AV35"/>
  <c r="AU35"/>
  <c r="AS35"/>
  <c r="AO35"/>
  <c r="AM35"/>
  <c r="AL35"/>
  <c r="AK35"/>
  <c r="AJ35"/>
  <c r="M35"/>
  <c r="N35" s="1"/>
  <c r="AV34"/>
  <c r="AU34"/>
  <c r="AS34"/>
  <c r="AO34"/>
  <c r="AK34"/>
  <c r="AJ34"/>
  <c r="M34"/>
  <c r="N34" s="1"/>
  <c r="AV33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T27"/>
  <c r="AU27" s="1"/>
  <c r="AS27"/>
  <c r="AO27"/>
  <c r="AK27"/>
  <c r="AJ27"/>
  <c r="M27"/>
  <c r="N27" s="1"/>
  <c r="AV26"/>
  <c r="AU26"/>
  <c r="AS26"/>
  <c r="AO26"/>
  <c r="AL26"/>
  <c r="AM26" s="1"/>
  <c r="AK26"/>
  <c r="AJ26"/>
  <c r="AU25"/>
  <c r="AT25"/>
  <c r="AV25" s="1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T22"/>
  <c r="AU22" s="1"/>
  <c r="AS22"/>
  <c r="AO22"/>
  <c r="AM22"/>
  <c r="AM95" s="1"/>
  <c r="AL22"/>
  <c r="AK22"/>
  <c r="AJ22"/>
  <c r="M22"/>
  <c r="N22" s="1"/>
  <c r="AV21"/>
  <c r="AU21"/>
  <c r="AS21"/>
  <c r="AO21"/>
  <c r="AK21"/>
  <c r="AJ21"/>
  <c r="M21"/>
  <c r="N21" s="1"/>
  <c r="AV20"/>
  <c r="AU20"/>
  <c r="AS20"/>
  <c r="AO20"/>
  <c r="AK20"/>
  <c r="AJ20"/>
  <c r="M20"/>
  <c r="N20" s="1"/>
  <c r="AV19"/>
  <c r="AU19"/>
  <c r="AS19"/>
  <c r="AO19"/>
  <c r="AK19"/>
  <c r="AJ19"/>
  <c r="M19"/>
  <c r="N19" s="1"/>
  <c r="AV18"/>
  <c r="AU18"/>
  <c r="AS18"/>
  <c r="AO18"/>
  <c r="AO95" s="1"/>
  <c r="AK18"/>
  <c r="AJ18"/>
  <c r="M18"/>
  <c r="N18" s="1"/>
  <c r="AV17"/>
  <c r="AU17"/>
  <c r="AS17"/>
  <c r="AL17"/>
  <c r="AL95" s="1"/>
  <c r="AK17"/>
  <c r="AK95" s="1"/>
  <c r="AJ17"/>
  <c r="AJ95" s="1"/>
  <c r="M17"/>
  <c r="N17" s="1"/>
  <c r="N95" s="1"/>
  <c r="AQ91" i="49"/>
  <c r="AP91"/>
  <c r="AN91"/>
  <c r="AI91"/>
  <c r="AH91"/>
  <c r="AG91"/>
  <c r="AF91"/>
  <c r="AE91"/>
  <c r="AD91"/>
  <c r="AC91"/>
  <c r="AB91"/>
  <c r="T91"/>
  <c r="R91"/>
  <c r="P91"/>
  <c r="K91"/>
  <c r="AV90"/>
  <c r="AU90"/>
  <c r="AS90"/>
  <c r="AJ90"/>
  <c r="AE90"/>
  <c r="AK90" s="1"/>
  <c r="AO90" s="1"/>
  <c r="N90"/>
  <c r="M90"/>
  <c r="AV89"/>
  <c r="AU89"/>
  <c r="AS89"/>
  <c r="AK89"/>
  <c r="AO89" s="1"/>
  <c r="AJ89"/>
  <c r="N89"/>
  <c r="M89"/>
  <c r="AV88"/>
  <c r="AU88"/>
  <c r="AS88"/>
  <c r="AK88"/>
  <c r="AO88" s="1"/>
  <c r="AJ88"/>
  <c r="N88"/>
  <c r="M88"/>
  <c r="AV87"/>
  <c r="AU87"/>
  <c r="AS87"/>
  <c r="AK87"/>
  <c r="AO87" s="1"/>
  <c r="AJ87"/>
  <c r="N87"/>
  <c r="M87"/>
  <c r="AT86"/>
  <c r="AU86" s="1"/>
  <c r="AS86"/>
  <c r="AO86"/>
  <c r="AK86"/>
  <c r="AJ86"/>
  <c r="M86"/>
  <c r="N86" s="1"/>
  <c r="AV85"/>
  <c r="AU85"/>
  <c r="AS85"/>
  <c r="AO85"/>
  <c r="AK85"/>
  <c r="AJ85"/>
  <c r="M85"/>
  <c r="N85" s="1"/>
  <c r="AV84"/>
  <c r="AU84"/>
  <c r="AS84"/>
  <c r="AO84"/>
  <c r="AK84"/>
  <c r="AJ84"/>
  <c r="M84"/>
  <c r="N84" s="1"/>
  <c r="AV83"/>
  <c r="AU83"/>
  <c r="AS83"/>
  <c r="AK83"/>
  <c r="AJ83"/>
  <c r="N83"/>
  <c r="M83"/>
  <c r="AV82"/>
  <c r="AU82"/>
  <c r="AS82"/>
  <c r="AK82"/>
  <c r="AO82" s="1"/>
  <c r="AJ82"/>
  <c r="N82"/>
  <c r="M82"/>
  <c r="AT81"/>
  <c r="AU81" s="1"/>
  <c r="AS81"/>
  <c r="AL81"/>
  <c r="AM81" s="1"/>
  <c r="AO81" s="1"/>
  <c r="AK81"/>
  <c r="AJ81"/>
  <c r="M81"/>
  <c r="N81" s="1"/>
  <c r="AU80"/>
  <c r="AT80"/>
  <c r="AV80" s="1"/>
  <c r="AS80"/>
  <c r="AK80"/>
  <c r="AO80" s="1"/>
  <c r="AJ80"/>
  <c r="N80"/>
  <c r="M80"/>
  <c r="AT79"/>
  <c r="AU79" s="1"/>
  <c r="AS79"/>
  <c r="AO79"/>
  <c r="AK79"/>
  <c r="AJ79"/>
  <c r="M79"/>
  <c r="N79" s="1"/>
  <c r="AV78"/>
  <c r="AU78"/>
  <c r="AS78"/>
  <c r="AO78"/>
  <c r="AK78"/>
  <c r="AJ78"/>
  <c r="M78"/>
  <c r="N78" s="1"/>
  <c r="AV77"/>
  <c r="AU77"/>
  <c r="AS77"/>
  <c r="AO77"/>
  <c r="AK77"/>
  <c r="AJ77"/>
  <c r="M77"/>
  <c r="N77" s="1"/>
  <c r="AV76"/>
  <c r="AU76"/>
  <c r="AS76"/>
  <c r="AO76"/>
  <c r="AK76"/>
  <c r="AJ76"/>
  <c r="M76"/>
  <c r="N76" s="1"/>
  <c r="AV75"/>
  <c r="AU75"/>
  <c r="AS75"/>
  <c r="AO75"/>
  <c r="AK75"/>
  <c r="AJ75"/>
  <c r="M75"/>
  <c r="N75" s="1"/>
  <c r="AV74"/>
  <c r="AU74"/>
  <c r="AS74"/>
  <c r="AO74"/>
  <c r="AK74"/>
  <c r="AJ74"/>
  <c r="M74"/>
  <c r="N74" s="1"/>
  <c r="AV73"/>
  <c r="AU73"/>
  <c r="AS73"/>
  <c r="AO73"/>
  <c r="AK73"/>
  <c r="AJ73"/>
  <c r="M73"/>
  <c r="N73" s="1"/>
  <c r="AV72"/>
  <c r="AR72"/>
  <c r="AS72" s="1"/>
  <c r="AK72"/>
  <c r="AO72" s="1"/>
  <c r="AJ72"/>
  <c r="N72"/>
  <c r="M72"/>
  <c r="AV71"/>
  <c r="AS71"/>
  <c r="AR71"/>
  <c r="AU71" s="1"/>
  <c r="AO71"/>
  <c r="AK71"/>
  <c r="AJ71"/>
  <c r="M71"/>
  <c r="N71" s="1"/>
  <c r="AV70"/>
  <c r="AU70"/>
  <c r="AS70"/>
  <c r="AL70"/>
  <c r="AK70"/>
  <c r="AO70" s="1"/>
  <c r="AJ70"/>
  <c r="N70"/>
  <c r="M70"/>
  <c r="AV69"/>
  <c r="AU69"/>
  <c r="AS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V58"/>
  <c r="AU58"/>
  <c r="AS58"/>
  <c r="AO58"/>
  <c r="AK58"/>
  <c r="AJ58"/>
  <c r="M58"/>
  <c r="N58" s="1"/>
  <c r="AV57"/>
  <c r="AU57"/>
  <c r="AS57"/>
  <c r="AO57"/>
  <c r="AK57"/>
  <c r="AJ57"/>
  <c r="M57"/>
  <c r="N57" s="1"/>
  <c r="AV56"/>
  <c r="AU56"/>
  <c r="AS56"/>
  <c r="AO56"/>
  <c r="AK56"/>
  <c r="AJ56"/>
  <c r="M56"/>
  <c r="N56" s="1"/>
  <c r="AV55"/>
  <c r="AU55"/>
  <c r="AS55"/>
  <c r="AO55"/>
  <c r="AK55"/>
  <c r="AJ55"/>
  <c r="M55"/>
  <c r="N55" s="1"/>
  <c r="AU54"/>
  <c r="AT54"/>
  <c r="AV54" s="1"/>
  <c r="AS54"/>
  <c r="AK54"/>
  <c r="AO54" s="1"/>
  <c r="AJ54"/>
  <c r="N54"/>
  <c r="M54"/>
  <c r="AV53"/>
  <c r="AU53"/>
  <c r="AS53"/>
  <c r="AM53"/>
  <c r="AL53"/>
  <c r="AK53"/>
  <c r="AO53" s="1"/>
  <c r="AJ53"/>
  <c r="N53"/>
  <c r="M53"/>
  <c r="AV52"/>
  <c r="AU52"/>
  <c r="AS52"/>
  <c r="AK52"/>
  <c r="AO52" s="1"/>
  <c r="AJ52"/>
  <c r="N52"/>
  <c r="M52"/>
  <c r="AV51"/>
  <c r="AU51"/>
  <c r="AS51"/>
  <c r="AK51"/>
  <c r="AJ51"/>
  <c r="M51"/>
  <c r="N51" s="1"/>
  <c r="AV50"/>
  <c r="AU50"/>
  <c r="AS50"/>
  <c r="AO50"/>
  <c r="AK50"/>
  <c r="AJ50"/>
  <c r="M50"/>
  <c r="N50" s="1"/>
  <c r="AV49"/>
  <c r="AU49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T45"/>
  <c r="AU45" s="1"/>
  <c r="AS45"/>
  <c r="AO45"/>
  <c r="AK45"/>
  <c r="AJ45"/>
  <c r="M45"/>
  <c r="N45" s="1"/>
  <c r="AV44"/>
  <c r="AU44"/>
  <c r="AS44"/>
  <c r="AO44"/>
  <c r="AK44"/>
  <c r="AJ44"/>
  <c r="M44"/>
  <c r="N44" s="1"/>
  <c r="AV43"/>
  <c r="AU43"/>
  <c r="AS43"/>
  <c r="AO43"/>
  <c r="AK43"/>
  <c r="AJ43"/>
  <c r="M43"/>
  <c r="N43" s="1"/>
  <c r="AV42"/>
  <c r="AU42"/>
  <c r="AS42"/>
  <c r="AM42"/>
  <c r="AK42"/>
  <c r="AO42" s="1"/>
  <c r="AJ42"/>
  <c r="N42"/>
  <c r="M42"/>
  <c r="AT41"/>
  <c r="AU41" s="1"/>
  <c r="AS41"/>
  <c r="AO41"/>
  <c r="AK41"/>
  <c r="AJ41"/>
  <c r="M41"/>
  <c r="N41" s="1"/>
  <c r="AV40"/>
  <c r="AU40"/>
  <c r="AS40"/>
  <c r="AO40"/>
  <c r="AK40"/>
  <c r="AJ40"/>
  <c r="M40"/>
  <c r="N40" s="1"/>
  <c r="AV39"/>
  <c r="AU39"/>
  <c r="AS39"/>
  <c r="AO39"/>
  <c r="AM39"/>
  <c r="AL39"/>
  <c r="AK39"/>
  <c r="AJ39"/>
  <c r="M39"/>
  <c r="N39" s="1"/>
  <c r="AV38"/>
  <c r="AU38"/>
  <c r="AS38"/>
  <c r="AO38"/>
  <c r="AK38"/>
  <c r="AJ38"/>
  <c r="M38"/>
  <c r="N38" s="1"/>
  <c r="AV37"/>
  <c r="AU37"/>
  <c r="AS37"/>
  <c r="AO37"/>
  <c r="AM37"/>
  <c r="AL37"/>
  <c r="AK37"/>
  <c r="AJ37"/>
  <c r="M37"/>
  <c r="N37" s="1"/>
  <c r="AV36"/>
  <c r="AU36"/>
  <c r="AS36"/>
  <c r="AO36"/>
  <c r="AK36"/>
  <c r="AJ36"/>
  <c r="M36"/>
  <c r="N36" s="1"/>
  <c r="AV35"/>
  <c r="AU35"/>
  <c r="AS35"/>
  <c r="AO35"/>
  <c r="AM35"/>
  <c r="AL35"/>
  <c r="AK35"/>
  <c r="AJ35"/>
  <c r="M35"/>
  <c r="N35" s="1"/>
  <c r="AV34"/>
  <c r="AU34"/>
  <c r="AS34"/>
  <c r="AO34"/>
  <c r="AK34"/>
  <c r="AJ34"/>
  <c r="M34"/>
  <c r="N34" s="1"/>
  <c r="AU33"/>
  <c r="AT33"/>
  <c r="AV33" s="1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T27"/>
  <c r="AU27" s="1"/>
  <c r="AS27"/>
  <c r="AO27"/>
  <c r="AK27"/>
  <c r="AJ27"/>
  <c r="M27"/>
  <c r="N27" s="1"/>
  <c r="AV26"/>
  <c r="AU26"/>
  <c r="AS26"/>
  <c r="AO26"/>
  <c r="AL26"/>
  <c r="AM26" s="1"/>
  <c r="AK26"/>
  <c r="AJ26"/>
  <c r="AU25"/>
  <c r="AT25"/>
  <c r="AV25" s="1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T22"/>
  <c r="AU22" s="1"/>
  <c r="AS22"/>
  <c r="AO22"/>
  <c r="AM22"/>
  <c r="AM91" s="1"/>
  <c r="AL22"/>
  <c r="AK22"/>
  <c r="AJ22"/>
  <c r="M22"/>
  <c r="N22" s="1"/>
  <c r="AV21"/>
  <c r="AU21"/>
  <c r="AS21"/>
  <c r="AO21"/>
  <c r="AK21"/>
  <c r="AJ21"/>
  <c r="M21"/>
  <c r="N21" s="1"/>
  <c r="AV20"/>
  <c r="AU20"/>
  <c r="AS20"/>
  <c r="AO20"/>
  <c r="AK20"/>
  <c r="AJ20"/>
  <c r="M20"/>
  <c r="N20" s="1"/>
  <c r="AV19"/>
  <c r="AU19"/>
  <c r="AS19"/>
  <c r="AO19"/>
  <c r="AK19"/>
  <c r="AJ19"/>
  <c r="M19"/>
  <c r="N19" s="1"/>
  <c r="AV18"/>
  <c r="AU18"/>
  <c r="AS18"/>
  <c r="AO18"/>
  <c r="AO91" s="1"/>
  <c r="AK18"/>
  <c r="AJ18"/>
  <c r="M18"/>
  <c r="N18" s="1"/>
  <c r="AV17"/>
  <c r="AU17"/>
  <c r="AS17"/>
  <c r="AL17"/>
  <c r="AL91" s="1"/>
  <c r="AK17"/>
  <c r="AK91" s="1"/>
  <c r="AJ17"/>
  <c r="AJ91" s="1"/>
  <c r="M17"/>
  <c r="N17" s="1"/>
  <c r="N91" s="1"/>
  <c r="AQ91" i="48"/>
  <c r="AP91"/>
  <c r="AN91"/>
  <c r="AI91"/>
  <c r="AH91"/>
  <c r="AG91"/>
  <c r="AF91"/>
  <c r="AD91"/>
  <c r="AC91"/>
  <c r="AB91"/>
  <c r="T91"/>
  <c r="R91"/>
  <c r="P91"/>
  <c r="K91"/>
  <c r="AV90"/>
  <c r="AU90"/>
  <c r="AS90"/>
  <c r="AJ90"/>
  <c r="AE90"/>
  <c r="AK90" s="1"/>
  <c r="AO90" s="1"/>
  <c r="N90"/>
  <c r="M90"/>
  <c r="AV89"/>
  <c r="AU89"/>
  <c r="AS89"/>
  <c r="AK89"/>
  <c r="AO89" s="1"/>
  <c r="AJ89"/>
  <c r="N89"/>
  <c r="M89"/>
  <c r="AV88"/>
  <c r="AU88"/>
  <c r="AS88"/>
  <c r="AK88"/>
  <c r="AO88" s="1"/>
  <c r="AJ88"/>
  <c r="N88"/>
  <c r="M88"/>
  <c r="AV87"/>
  <c r="AU87"/>
  <c r="AS87"/>
  <c r="AK87"/>
  <c r="AO87" s="1"/>
  <c r="AJ87"/>
  <c r="N87"/>
  <c r="M87"/>
  <c r="AT86"/>
  <c r="AU86" s="1"/>
  <c r="AS86"/>
  <c r="AO86"/>
  <c r="AK86"/>
  <c r="AJ86"/>
  <c r="M86"/>
  <c r="N86" s="1"/>
  <c r="AV85"/>
  <c r="AU85"/>
  <c r="AS85"/>
  <c r="AO85"/>
  <c r="AK85"/>
  <c r="AJ85"/>
  <c r="M85"/>
  <c r="N85" s="1"/>
  <c r="AV84"/>
  <c r="AU84"/>
  <c r="AS84"/>
  <c r="AO84"/>
  <c r="AK84"/>
  <c r="AJ84"/>
  <c r="M84"/>
  <c r="N84" s="1"/>
  <c r="AV83"/>
  <c r="AU83"/>
  <c r="AS83"/>
  <c r="AK83"/>
  <c r="AJ83"/>
  <c r="N83"/>
  <c r="M83"/>
  <c r="AV82"/>
  <c r="AU82"/>
  <c r="AS82"/>
  <c r="AK82"/>
  <c r="AO82" s="1"/>
  <c r="AJ82"/>
  <c r="N82"/>
  <c r="M82"/>
  <c r="AT81"/>
  <c r="AU81" s="1"/>
  <c r="AS81"/>
  <c r="AL81"/>
  <c r="AM81" s="1"/>
  <c r="AO81" s="1"/>
  <c r="AK81"/>
  <c r="AJ81"/>
  <c r="M81"/>
  <c r="N81" s="1"/>
  <c r="AU80"/>
  <c r="AT80"/>
  <c r="AV80" s="1"/>
  <c r="AS80"/>
  <c r="AK80"/>
  <c r="AO80" s="1"/>
  <c r="AJ80"/>
  <c r="N80"/>
  <c r="M80"/>
  <c r="AT79"/>
  <c r="AU79" s="1"/>
  <c r="AS79"/>
  <c r="AO79"/>
  <c r="AK79"/>
  <c r="AJ79"/>
  <c r="M79"/>
  <c r="N79" s="1"/>
  <c r="AV78"/>
  <c r="AU78"/>
  <c r="AS78"/>
  <c r="AO78"/>
  <c r="AK78"/>
  <c r="AJ78"/>
  <c r="M78"/>
  <c r="N78" s="1"/>
  <c r="AV77"/>
  <c r="AU77"/>
  <c r="AS77"/>
  <c r="AO77"/>
  <c r="AK77"/>
  <c r="AJ77"/>
  <c r="M77"/>
  <c r="N77" s="1"/>
  <c r="AV76"/>
  <c r="AU76"/>
  <c r="AS76"/>
  <c r="AO76"/>
  <c r="AK76"/>
  <c r="AJ76"/>
  <c r="M76"/>
  <c r="N76" s="1"/>
  <c r="AV75"/>
  <c r="AU75"/>
  <c r="AS75"/>
  <c r="AO75"/>
  <c r="AK75"/>
  <c r="AJ75"/>
  <c r="M75"/>
  <c r="N75" s="1"/>
  <c r="AV74"/>
  <c r="AU74"/>
  <c r="AS74"/>
  <c r="AO74"/>
  <c r="AK74"/>
  <c r="AJ74"/>
  <c r="M74"/>
  <c r="N74" s="1"/>
  <c r="AV73"/>
  <c r="AU73"/>
  <c r="AS73"/>
  <c r="AO73"/>
  <c r="AK73"/>
  <c r="AJ73"/>
  <c r="M73"/>
  <c r="N73" s="1"/>
  <c r="AV72"/>
  <c r="AR72"/>
  <c r="AS72" s="1"/>
  <c r="AK72"/>
  <c r="AO72" s="1"/>
  <c r="AJ72"/>
  <c r="N72"/>
  <c r="M72"/>
  <c r="AV71"/>
  <c r="AS71"/>
  <c r="AR71"/>
  <c r="AU71" s="1"/>
  <c r="AO71"/>
  <c r="AK71"/>
  <c r="AJ71"/>
  <c r="M71"/>
  <c r="N71" s="1"/>
  <c r="AV70"/>
  <c r="AU70"/>
  <c r="AS70"/>
  <c r="AL70"/>
  <c r="AK70"/>
  <c r="AO70" s="1"/>
  <c r="AJ70"/>
  <c r="N70"/>
  <c r="M70"/>
  <c r="AV69"/>
  <c r="AU69"/>
  <c r="AS69"/>
  <c r="AK69"/>
  <c r="AJ69"/>
  <c r="M69"/>
  <c r="N69" s="1"/>
  <c r="AV68"/>
  <c r="AU68"/>
  <c r="AS68"/>
  <c r="AO68"/>
  <c r="AK68"/>
  <c r="AJ68"/>
  <c r="M68"/>
  <c r="N68" s="1"/>
  <c r="AV67"/>
  <c r="AU67"/>
  <c r="AS67"/>
  <c r="AO67"/>
  <c r="AK67"/>
  <c r="AJ67"/>
  <c r="M67"/>
  <c r="N67" s="1"/>
  <c r="AV66"/>
  <c r="AU66"/>
  <c r="AS66"/>
  <c r="AO66"/>
  <c r="AK66"/>
  <c r="AJ66"/>
  <c r="M66"/>
  <c r="N66" s="1"/>
  <c r="AV65"/>
  <c r="AU65"/>
  <c r="AS65"/>
  <c r="AO65"/>
  <c r="AK65"/>
  <c r="AJ65"/>
  <c r="M65"/>
  <c r="N65" s="1"/>
  <c r="AV64"/>
  <c r="AU64"/>
  <c r="AS64"/>
  <c r="AO64"/>
  <c r="AK64"/>
  <c r="AJ64"/>
  <c r="M64"/>
  <c r="N64" s="1"/>
  <c r="AV63"/>
  <c r="AU63"/>
  <c r="AS63"/>
  <c r="AO63"/>
  <c r="AK63"/>
  <c r="AJ63"/>
  <c r="M63"/>
  <c r="N63" s="1"/>
  <c r="AV62"/>
  <c r="AU62"/>
  <c r="AS62"/>
  <c r="AO62"/>
  <c r="AK62"/>
  <c r="AJ62"/>
  <c r="M62"/>
  <c r="N62" s="1"/>
  <c r="AV61"/>
  <c r="AU61"/>
  <c r="AS61"/>
  <c r="AO61"/>
  <c r="AK61"/>
  <c r="AJ61"/>
  <c r="M61"/>
  <c r="N61" s="1"/>
  <c r="AV60"/>
  <c r="AU60"/>
  <c r="AS60"/>
  <c r="AO60"/>
  <c r="AK60"/>
  <c r="AJ60"/>
  <c r="M60"/>
  <c r="N60" s="1"/>
  <c r="AV59"/>
  <c r="AU59"/>
  <c r="AS59"/>
  <c r="AO59"/>
  <c r="AK59"/>
  <c r="AJ59"/>
  <c r="M59"/>
  <c r="N59" s="1"/>
  <c r="AV58"/>
  <c r="AU58"/>
  <c r="AS58"/>
  <c r="AO58"/>
  <c r="AK58"/>
  <c r="AJ58"/>
  <c r="M58"/>
  <c r="N58" s="1"/>
  <c r="AV57"/>
  <c r="AU57"/>
  <c r="AS57"/>
  <c r="AO57"/>
  <c r="AK57"/>
  <c r="AJ57"/>
  <c r="M57"/>
  <c r="N57" s="1"/>
  <c r="AV56"/>
  <c r="AU56"/>
  <c r="AS56"/>
  <c r="AO56"/>
  <c r="AK56"/>
  <c r="AJ56"/>
  <c r="M56"/>
  <c r="N56" s="1"/>
  <c r="AV55"/>
  <c r="AU55"/>
  <c r="AS55"/>
  <c r="AO55"/>
  <c r="AK55"/>
  <c r="AJ55"/>
  <c r="M55"/>
  <c r="N55" s="1"/>
  <c r="AU54"/>
  <c r="AT54"/>
  <c r="AV54" s="1"/>
  <c r="AS54"/>
  <c r="AK54"/>
  <c r="AO54" s="1"/>
  <c r="AJ54"/>
  <c r="N54"/>
  <c r="M54"/>
  <c r="AV53"/>
  <c r="AU53"/>
  <c r="AS53"/>
  <c r="AM53"/>
  <c r="AL53"/>
  <c r="AK53"/>
  <c r="AO53" s="1"/>
  <c r="AJ53"/>
  <c r="N53"/>
  <c r="M53"/>
  <c r="AV52"/>
  <c r="AU52"/>
  <c r="AS52"/>
  <c r="AK52"/>
  <c r="AO52" s="1"/>
  <c r="AJ52"/>
  <c r="N52"/>
  <c r="M52"/>
  <c r="AV51"/>
  <c r="AU51"/>
  <c r="AS51"/>
  <c r="AK51"/>
  <c r="AJ51"/>
  <c r="M51"/>
  <c r="N51" s="1"/>
  <c r="AV50"/>
  <c r="AU50"/>
  <c r="AS50"/>
  <c r="AO50"/>
  <c r="AK50"/>
  <c r="AJ50"/>
  <c r="M50"/>
  <c r="N50" s="1"/>
  <c r="AV49"/>
  <c r="AU49"/>
  <c r="AS49"/>
  <c r="AO49"/>
  <c r="AK49"/>
  <c r="AJ49"/>
  <c r="M49"/>
  <c r="N49" s="1"/>
  <c r="AU48"/>
  <c r="AT48"/>
  <c r="AV48" s="1"/>
  <c r="AS48"/>
  <c r="AK48"/>
  <c r="AO48" s="1"/>
  <c r="AJ48"/>
  <c r="N48"/>
  <c r="M48"/>
  <c r="AT47"/>
  <c r="AU47" s="1"/>
  <c r="AS47"/>
  <c r="AO47"/>
  <c r="AK47"/>
  <c r="AJ47"/>
  <c r="M47"/>
  <c r="N47" s="1"/>
  <c r="AU46"/>
  <c r="AT46"/>
  <c r="AV46" s="1"/>
  <c r="AS46"/>
  <c r="AK46"/>
  <c r="AO46" s="1"/>
  <c r="AJ46"/>
  <c r="N46"/>
  <c r="M46"/>
  <c r="AT45"/>
  <c r="AU45" s="1"/>
  <c r="AS45"/>
  <c r="AO45"/>
  <c r="AK45"/>
  <c r="AJ45"/>
  <c r="M45"/>
  <c r="N45" s="1"/>
  <c r="AV44"/>
  <c r="AU44"/>
  <c r="AS44"/>
  <c r="AO44"/>
  <c r="AK44"/>
  <c r="AJ44"/>
  <c r="M44"/>
  <c r="N44" s="1"/>
  <c r="AV43"/>
  <c r="AU43"/>
  <c r="AS43"/>
  <c r="AO43"/>
  <c r="AK43"/>
  <c r="AJ43"/>
  <c r="M43"/>
  <c r="N43" s="1"/>
  <c r="AV42"/>
  <c r="AU42"/>
  <c r="AS42"/>
  <c r="AM42"/>
  <c r="AK42"/>
  <c r="AO42" s="1"/>
  <c r="AJ42"/>
  <c r="N42"/>
  <c r="M42"/>
  <c r="AT41"/>
  <c r="AU41" s="1"/>
  <c r="AS41"/>
  <c r="AO41"/>
  <c r="AK41"/>
  <c r="AJ41"/>
  <c r="M41"/>
  <c r="N41" s="1"/>
  <c r="AV40"/>
  <c r="AU40"/>
  <c r="AS40"/>
  <c r="AO40"/>
  <c r="AK40"/>
  <c r="AJ40"/>
  <c r="M40"/>
  <c r="N40" s="1"/>
  <c r="AV39"/>
  <c r="AU39"/>
  <c r="AS39"/>
  <c r="AO39"/>
  <c r="AM39"/>
  <c r="AL39"/>
  <c r="AK39"/>
  <c r="AJ39"/>
  <c r="M39"/>
  <c r="N39" s="1"/>
  <c r="AV38"/>
  <c r="AU38"/>
  <c r="AS38"/>
  <c r="AO38"/>
  <c r="AK38"/>
  <c r="AJ38"/>
  <c r="M38"/>
  <c r="N38" s="1"/>
  <c r="AV37"/>
  <c r="AU37"/>
  <c r="AS37"/>
  <c r="AO37"/>
  <c r="AM37"/>
  <c r="AL37"/>
  <c r="AK37"/>
  <c r="AJ37"/>
  <c r="M37"/>
  <c r="N37" s="1"/>
  <c r="AV36"/>
  <c r="AU36"/>
  <c r="AS36"/>
  <c r="AO36"/>
  <c r="AK36"/>
  <c r="AJ36"/>
  <c r="M36"/>
  <c r="N36" s="1"/>
  <c r="AV35"/>
  <c r="AU35"/>
  <c r="AS35"/>
  <c r="AO35"/>
  <c r="AM35"/>
  <c r="AL35"/>
  <c r="AK35"/>
  <c r="AJ35"/>
  <c r="M35"/>
  <c r="N35" s="1"/>
  <c r="AV34"/>
  <c r="AU34"/>
  <c r="AS34"/>
  <c r="AO34"/>
  <c r="AK34"/>
  <c r="AJ34"/>
  <c r="M34"/>
  <c r="N34" s="1"/>
  <c r="AU33"/>
  <c r="AT33"/>
  <c r="AV33" s="1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T27"/>
  <c r="AU27" s="1"/>
  <c r="AS27"/>
  <c r="AO27"/>
  <c r="AK27"/>
  <c r="AJ27"/>
  <c r="M27"/>
  <c r="N27" s="1"/>
  <c r="AV26"/>
  <c r="AU26"/>
  <c r="AS26"/>
  <c r="AO26"/>
  <c r="AL26"/>
  <c r="AM26" s="1"/>
  <c r="AK26"/>
  <c r="AJ26"/>
  <c r="AU25"/>
  <c r="AT25"/>
  <c r="AV25" s="1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T22"/>
  <c r="AU22" s="1"/>
  <c r="AS22"/>
  <c r="AO22"/>
  <c r="AM22"/>
  <c r="AM91" s="1"/>
  <c r="AL22"/>
  <c r="AK22"/>
  <c r="AJ22"/>
  <c r="M22"/>
  <c r="N22" s="1"/>
  <c r="AV21"/>
  <c r="AU21"/>
  <c r="AS21"/>
  <c r="AO21"/>
  <c r="AK21"/>
  <c r="AJ21"/>
  <c r="M21"/>
  <c r="N21" s="1"/>
  <c r="AV20"/>
  <c r="AU20"/>
  <c r="AS20"/>
  <c r="AO20"/>
  <c r="AK20"/>
  <c r="AJ20"/>
  <c r="M20"/>
  <c r="N20" s="1"/>
  <c r="AV19"/>
  <c r="AU19"/>
  <c r="AS19"/>
  <c r="AO19"/>
  <c r="AK19"/>
  <c r="AJ19"/>
  <c r="M19"/>
  <c r="N19" s="1"/>
  <c r="AV18"/>
  <c r="AU18"/>
  <c r="AS18"/>
  <c r="AO18"/>
  <c r="AO91" s="1"/>
  <c r="AK18"/>
  <c r="AJ18"/>
  <c r="M18"/>
  <c r="N18" s="1"/>
  <c r="AV17"/>
  <c r="AU17"/>
  <c r="AS17"/>
  <c r="AL17"/>
  <c r="AL91" s="1"/>
  <c r="AK17"/>
  <c r="AK91" s="1"/>
  <c r="AJ17"/>
  <c r="AJ91" s="1"/>
  <c r="M17"/>
  <c r="N17" s="1"/>
  <c r="N91" s="1"/>
  <c r="AT41" i="47"/>
  <c r="AU41" s="1"/>
  <c r="AT27"/>
  <c r="AV27" s="1"/>
  <c r="AT22"/>
  <c r="AV22" s="1"/>
  <c r="AT81"/>
  <c r="AU81" s="1"/>
  <c r="AT86"/>
  <c r="AV86" s="1"/>
  <c r="AT25"/>
  <c r="AU25" s="1"/>
  <c r="AT80"/>
  <c r="AU80" s="1"/>
  <c r="AT79"/>
  <c r="AU79" s="1"/>
  <c r="AT33"/>
  <c r="AU33" s="1"/>
  <c r="AT54"/>
  <c r="AU54" s="1"/>
  <c r="AT48"/>
  <c r="AV48" s="1"/>
  <c r="AT47"/>
  <c r="AV47" s="1"/>
  <c r="AT46"/>
  <c r="AU46" s="1"/>
  <c r="AT45"/>
  <c r="AV45" s="1"/>
  <c r="AQ91"/>
  <c r="AP91"/>
  <c r="AN91"/>
  <c r="AI91"/>
  <c r="AH91"/>
  <c r="AG91"/>
  <c r="AF91"/>
  <c r="AD91"/>
  <c r="AC91"/>
  <c r="AB91"/>
  <c r="T91"/>
  <c r="R91"/>
  <c r="P91"/>
  <c r="K91"/>
  <c r="AV90"/>
  <c r="AU90"/>
  <c r="AS90"/>
  <c r="AJ90"/>
  <c r="AE90"/>
  <c r="AK90" s="1"/>
  <c r="AO90" s="1"/>
  <c r="N90"/>
  <c r="M90"/>
  <c r="AV89"/>
  <c r="AU89"/>
  <c r="AS89"/>
  <c r="AK89"/>
  <c r="AO89" s="1"/>
  <c r="AJ89"/>
  <c r="N89"/>
  <c r="M89"/>
  <c r="AV88"/>
  <c r="AU88"/>
  <c r="AS88"/>
  <c r="AK88"/>
  <c r="AO88" s="1"/>
  <c r="AJ88"/>
  <c r="N88"/>
  <c r="M88"/>
  <c r="AV87"/>
  <c r="AU87"/>
  <c r="AS87"/>
  <c r="AK87"/>
  <c r="AO87" s="1"/>
  <c r="AJ87"/>
  <c r="N87"/>
  <c r="M87"/>
  <c r="AU86"/>
  <c r="AS86"/>
  <c r="AK86"/>
  <c r="AO86" s="1"/>
  <c r="AJ86"/>
  <c r="N86"/>
  <c r="M86"/>
  <c r="AV85"/>
  <c r="AU85"/>
  <c r="AS85"/>
  <c r="AK85"/>
  <c r="AO85" s="1"/>
  <c r="AJ85"/>
  <c r="N85"/>
  <c r="M85"/>
  <c r="AV84"/>
  <c r="AU84"/>
  <c r="AS84"/>
  <c r="AK84"/>
  <c r="AO84" s="1"/>
  <c r="AJ84"/>
  <c r="N84"/>
  <c r="M84"/>
  <c r="AV83"/>
  <c r="AU83"/>
  <c r="AS83"/>
  <c r="AK83"/>
  <c r="AJ83"/>
  <c r="M83"/>
  <c r="N83" s="1"/>
  <c r="AV82"/>
  <c r="AU82"/>
  <c r="AS82"/>
  <c r="AO82"/>
  <c r="AK82"/>
  <c r="AJ82"/>
  <c r="M82"/>
  <c r="N82" s="1"/>
  <c r="AV81"/>
  <c r="AS81"/>
  <c r="AM81"/>
  <c r="AL81"/>
  <c r="AK81"/>
  <c r="AO81" s="1"/>
  <c r="AJ81"/>
  <c r="N81"/>
  <c r="M81"/>
  <c r="AV80"/>
  <c r="AS80"/>
  <c r="AK80"/>
  <c r="AO80" s="1"/>
  <c r="AJ80"/>
  <c r="N80"/>
  <c r="M80"/>
  <c r="AV79"/>
  <c r="AS79"/>
  <c r="AK79"/>
  <c r="AO79" s="1"/>
  <c r="AJ79"/>
  <c r="N79"/>
  <c r="M79"/>
  <c r="AV78"/>
  <c r="AU78"/>
  <c r="AS78"/>
  <c r="AK78"/>
  <c r="AO78" s="1"/>
  <c r="AJ78"/>
  <c r="N78"/>
  <c r="M78"/>
  <c r="AV77"/>
  <c r="AU77"/>
  <c r="AS77"/>
  <c r="AK77"/>
  <c r="AO77" s="1"/>
  <c r="AJ77"/>
  <c r="N77"/>
  <c r="M77"/>
  <c r="AV76"/>
  <c r="AU76"/>
  <c r="AS76"/>
  <c r="AK76"/>
  <c r="AO76" s="1"/>
  <c r="AJ76"/>
  <c r="N76"/>
  <c r="M76"/>
  <c r="AV75"/>
  <c r="AU75"/>
  <c r="AS75"/>
  <c r="AK75"/>
  <c r="AO75" s="1"/>
  <c r="AJ75"/>
  <c r="N75"/>
  <c r="M75"/>
  <c r="AV74"/>
  <c r="AU74"/>
  <c r="AS74"/>
  <c r="AK74"/>
  <c r="AO74" s="1"/>
  <c r="AJ74"/>
  <c r="N74"/>
  <c r="M74"/>
  <c r="AV73"/>
  <c r="AU73"/>
  <c r="AS73"/>
  <c r="AK73"/>
  <c r="AO73" s="1"/>
  <c r="AJ73"/>
  <c r="N73"/>
  <c r="M73"/>
  <c r="AV72"/>
  <c r="AS72"/>
  <c r="AR72"/>
  <c r="AU72" s="1"/>
  <c r="AO72"/>
  <c r="AK72"/>
  <c r="AJ72"/>
  <c r="M72"/>
  <c r="N72" s="1"/>
  <c r="AV71"/>
  <c r="AR71"/>
  <c r="AS71" s="1"/>
  <c r="AK71"/>
  <c r="AO71" s="1"/>
  <c r="AJ71"/>
  <c r="N71"/>
  <c r="M71"/>
  <c r="AV70"/>
  <c r="AU70"/>
  <c r="AS70"/>
  <c r="AL70"/>
  <c r="AK70"/>
  <c r="AO70" s="1"/>
  <c r="AJ70"/>
  <c r="M70"/>
  <c r="N70" s="1"/>
  <c r="AV69"/>
  <c r="AU69"/>
  <c r="AS69"/>
  <c r="AK69"/>
  <c r="AJ69"/>
  <c r="N69"/>
  <c r="M69"/>
  <c r="AV68"/>
  <c r="AU68"/>
  <c r="AS68"/>
  <c r="AK68"/>
  <c r="AO68" s="1"/>
  <c r="AJ68"/>
  <c r="N68"/>
  <c r="M68"/>
  <c r="AV67"/>
  <c r="AU67"/>
  <c r="AS67"/>
  <c r="AK67"/>
  <c r="AO67" s="1"/>
  <c r="AJ67"/>
  <c r="N67"/>
  <c r="M67"/>
  <c r="AV66"/>
  <c r="AU66"/>
  <c r="AS66"/>
  <c r="AK66"/>
  <c r="AO66" s="1"/>
  <c r="AJ66"/>
  <c r="N66"/>
  <c r="M66"/>
  <c r="AV65"/>
  <c r="AU65"/>
  <c r="AS65"/>
  <c r="AK65"/>
  <c r="AO65" s="1"/>
  <c r="AJ65"/>
  <c r="N65"/>
  <c r="M65"/>
  <c r="AV64"/>
  <c r="AU64"/>
  <c r="AS64"/>
  <c r="AK64"/>
  <c r="AO64" s="1"/>
  <c r="AJ64"/>
  <c r="N64"/>
  <c r="M64"/>
  <c r="AV63"/>
  <c r="AU63"/>
  <c r="AS63"/>
  <c r="AK63"/>
  <c r="AO63" s="1"/>
  <c r="AJ63"/>
  <c r="N63"/>
  <c r="M63"/>
  <c r="AV62"/>
  <c r="AU62"/>
  <c r="AS62"/>
  <c r="AK62"/>
  <c r="AO62" s="1"/>
  <c r="AJ62"/>
  <c r="N62"/>
  <c r="M62"/>
  <c r="AV61"/>
  <c r="AU61"/>
  <c r="AS61"/>
  <c r="AK61"/>
  <c r="AO61" s="1"/>
  <c r="AJ61"/>
  <c r="N61"/>
  <c r="M61"/>
  <c r="AV60"/>
  <c r="AU60"/>
  <c r="AS60"/>
  <c r="AK60"/>
  <c r="AO60" s="1"/>
  <c r="AJ60"/>
  <c r="N60"/>
  <c r="M60"/>
  <c r="AV59"/>
  <c r="AU59"/>
  <c r="AS59"/>
  <c r="AK59"/>
  <c r="AO59" s="1"/>
  <c r="AJ59"/>
  <c r="N59"/>
  <c r="M59"/>
  <c r="AV58"/>
  <c r="AU58"/>
  <c r="AS58"/>
  <c r="AK58"/>
  <c r="AO58" s="1"/>
  <c r="AJ58"/>
  <c r="N58"/>
  <c r="M58"/>
  <c r="AV57"/>
  <c r="AU57"/>
  <c r="AS57"/>
  <c r="AK57"/>
  <c r="AO57" s="1"/>
  <c r="AJ57"/>
  <c r="N57"/>
  <c r="M57"/>
  <c r="AV56"/>
  <c r="AU56"/>
  <c r="AS56"/>
  <c r="AK56"/>
  <c r="AO56" s="1"/>
  <c r="AJ56"/>
  <c r="N56"/>
  <c r="M56"/>
  <c r="AV55"/>
  <c r="AU55"/>
  <c r="AS55"/>
  <c r="AK55"/>
  <c r="AO55" s="1"/>
  <c r="AJ55"/>
  <c r="N55"/>
  <c r="M55"/>
  <c r="AS54"/>
  <c r="AO54"/>
  <c r="AK54"/>
  <c r="AJ54"/>
  <c r="M54"/>
  <c r="N54" s="1"/>
  <c r="AV53"/>
  <c r="AU53"/>
  <c r="AS53"/>
  <c r="AL53"/>
  <c r="AM53" s="1"/>
  <c r="AO53" s="1"/>
  <c r="AK53"/>
  <c r="AJ53"/>
  <c r="M53"/>
  <c r="N53" s="1"/>
  <c r="AV52"/>
  <c r="AU52"/>
  <c r="AS52"/>
  <c r="AO52"/>
  <c r="AK52"/>
  <c r="AJ52"/>
  <c r="M52"/>
  <c r="N52" s="1"/>
  <c r="AV51"/>
  <c r="AU51"/>
  <c r="AS51"/>
  <c r="AK51"/>
  <c r="AJ51"/>
  <c r="N51"/>
  <c r="M51"/>
  <c r="AV50"/>
  <c r="AU50"/>
  <c r="AS50"/>
  <c r="AK50"/>
  <c r="AO50" s="1"/>
  <c r="AJ50"/>
  <c r="N50"/>
  <c r="M50"/>
  <c r="AV49"/>
  <c r="AU49"/>
  <c r="AS49"/>
  <c r="AK49"/>
  <c r="AO49" s="1"/>
  <c r="AJ49"/>
  <c r="N49"/>
  <c r="M49"/>
  <c r="AU48"/>
  <c r="AS48"/>
  <c r="AK48"/>
  <c r="AO48" s="1"/>
  <c r="AJ48"/>
  <c r="N48"/>
  <c r="M48"/>
  <c r="AU47"/>
  <c r="AS47"/>
  <c r="AK47"/>
  <c r="AO47" s="1"/>
  <c r="AJ47"/>
  <c r="N47"/>
  <c r="M47"/>
  <c r="AS46"/>
  <c r="AO46"/>
  <c r="AK46"/>
  <c r="AJ46"/>
  <c r="M46"/>
  <c r="N46" s="1"/>
  <c r="AU45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K43"/>
  <c r="AO43" s="1"/>
  <c r="AJ43"/>
  <c r="N43"/>
  <c r="M43"/>
  <c r="AV42"/>
  <c r="AU42"/>
  <c r="AS42"/>
  <c r="AM42"/>
  <c r="AK42"/>
  <c r="AO42" s="1"/>
  <c r="AJ42"/>
  <c r="M42"/>
  <c r="N42" s="1"/>
  <c r="AV41"/>
  <c r="AS41"/>
  <c r="AK41"/>
  <c r="AO41" s="1"/>
  <c r="AJ41"/>
  <c r="N41"/>
  <c r="M41"/>
  <c r="AV40"/>
  <c r="AU40"/>
  <c r="AS40"/>
  <c r="AK40"/>
  <c r="AO40" s="1"/>
  <c r="AJ40"/>
  <c r="N40"/>
  <c r="M40"/>
  <c r="AV39"/>
  <c r="AU39"/>
  <c r="AS39"/>
  <c r="AM39"/>
  <c r="AL39"/>
  <c r="AK39"/>
  <c r="AO39" s="1"/>
  <c r="AJ39"/>
  <c r="N39"/>
  <c r="M39"/>
  <c r="AV38"/>
  <c r="AU38"/>
  <c r="AS38"/>
  <c r="AK38"/>
  <c r="AO38" s="1"/>
  <c r="AJ38"/>
  <c r="N38"/>
  <c r="M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V33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U27"/>
  <c r="AS27"/>
  <c r="AK27"/>
  <c r="AO27" s="1"/>
  <c r="AJ27"/>
  <c r="N27"/>
  <c r="M27"/>
  <c r="AV26"/>
  <c r="AU26"/>
  <c r="AS26"/>
  <c r="AO26"/>
  <c r="AM26"/>
  <c r="AL26"/>
  <c r="AK26"/>
  <c r="AJ26"/>
  <c r="AV25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U22"/>
  <c r="AS22"/>
  <c r="AO22"/>
  <c r="AM22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J18"/>
  <c r="N18"/>
  <c r="M18"/>
  <c r="AV17"/>
  <c r="AU17"/>
  <c r="AS17"/>
  <c r="AL17"/>
  <c r="AL91" s="1"/>
  <c r="AK17"/>
  <c r="AK91" s="1"/>
  <c r="AJ17"/>
  <c r="AJ91" s="1"/>
  <c r="N17"/>
  <c r="M17"/>
  <c r="AQ91" i="46"/>
  <c r="AP91"/>
  <c r="AN91"/>
  <c r="AI91"/>
  <c r="AH91"/>
  <c r="AG91"/>
  <c r="AF91"/>
  <c r="AD91"/>
  <c r="AC91"/>
  <c r="AB91"/>
  <c r="T91"/>
  <c r="R91"/>
  <c r="P91"/>
  <c r="K91"/>
  <c r="AV90"/>
  <c r="AU90"/>
  <c r="AS90"/>
  <c r="AJ90"/>
  <c r="AE90"/>
  <c r="AK90" s="1"/>
  <c r="AO90" s="1"/>
  <c r="N90"/>
  <c r="M90"/>
  <c r="AV89"/>
  <c r="AU89"/>
  <c r="AS89"/>
  <c r="AK89"/>
  <c r="AO89" s="1"/>
  <c r="AJ89"/>
  <c r="N89"/>
  <c r="M89"/>
  <c r="AV88"/>
  <c r="AU88"/>
  <c r="AS88"/>
  <c r="AK88"/>
  <c r="AO88" s="1"/>
  <c r="AJ88"/>
  <c r="N88"/>
  <c r="M88"/>
  <c r="AV87"/>
  <c r="AU87"/>
  <c r="AS87"/>
  <c r="AK87"/>
  <c r="AO87" s="1"/>
  <c r="AJ87"/>
  <c r="N87"/>
  <c r="M87"/>
  <c r="AV86"/>
  <c r="AU86"/>
  <c r="AS86"/>
  <c r="AK86"/>
  <c r="AO86" s="1"/>
  <c r="AJ86"/>
  <c r="N86"/>
  <c r="M86"/>
  <c r="AV85"/>
  <c r="AU85"/>
  <c r="AS85"/>
  <c r="AK85"/>
  <c r="AO85" s="1"/>
  <c r="AJ85"/>
  <c r="N85"/>
  <c r="M85"/>
  <c r="AV84"/>
  <c r="AU84"/>
  <c r="AS84"/>
  <c r="AK84"/>
  <c r="AO84" s="1"/>
  <c r="AJ84"/>
  <c r="N84"/>
  <c r="M84"/>
  <c r="AV83"/>
  <c r="AU83"/>
  <c r="AS83"/>
  <c r="AK83"/>
  <c r="AJ83"/>
  <c r="M83"/>
  <c r="N83" s="1"/>
  <c r="AV82"/>
  <c r="AU82"/>
  <c r="AS82"/>
  <c r="AO82"/>
  <c r="AK82"/>
  <c r="AJ82"/>
  <c r="M82"/>
  <c r="N82" s="1"/>
  <c r="AU81"/>
  <c r="AT81"/>
  <c r="AV81" s="1"/>
  <c r="AS81"/>
  <c r="AM81"/>
  <c r="AL81"/>
  <c r="AK81"/>
  <c r="AO81" s="1"/>
  <c r="AJ81"/>
  <c r="N81"/>
  <c r="M81"/>
  <c r="AV80"/>
  <c r="AU80"/>
  <c r="AS80"/>
  <c r="AK80"/>
  <c r="AO80" s="1"/>
  <c r="AJ80"/>
  <c r="N80"/>
  <c r="M80"/>
  <c r="AV79"/>
  <c r="AU79"/>
  <c r="AS79"/>
  <c r="AK79"/>
  <c r="AO79" s="1"/>
  <c r="AJ79"/>
  <c r="N79"/>
  <c r="M79"/>
  <c r="AV78"/>
  <c r="AU78"/>
  <c r="AS78"/>
  <c r="AK78"/>
  <c r="AO78" s="1"/>
  <c r="AJ78"/>
  <c r="N78"/>
  <c r="M78"/>
  <c r="AV77"/>
  <c r="AU77"/>
  <c r="AS77"/>
  <c r="AK77"/>
  <c r="AO77" s="1"/>
  <c r="AJ77"/>
  <c r="N77"/>
  <c r="M77"/>
  <c r="AV76"/>
  <c r="AU76"/>
  <c r="AS76"/>
  <c r="AK76"/>
  <c r="AO76" s="1"/>
  <c r="AJ76"/>
  <c r="N76"/>
  <c r="M76"/>
  <c r="AV75"/>
  <c r="AU75"/>
  <c r="AS75"/>
  <c r="AK75"/>
  <c r="AO75" s="1"/>
  <c r="AJ75"/>
  <c r="N75"/>
  <c r="M75"/>
  <c r="AV74"/>
  <c r="AU74"/>
  <c r="AS74"/>
  <c r="AK74"/>
  <c r="AO74" s="1"/>
  <c r="AJ74"/>
  <c r="N74"/>
  <c r="M74"/>
  <c r="AV73"/>
  <c r="AU73"/>
  <c r="AS73"/>
  <c r="AK73"/>
  <c r="AO73" s="1"/>
  <c r="AJ73"/>
  <c r="N73"/>
  <c r="M73"/>
  <c r="AV72"/>
  <c r="AS72"/>
  <c r="AR72"/>
  <c r="AU72" s="1"/>
  <c r="AO72"/>
  <c r="AK72"/>
  <c r="AJ72"/>
  <c r="M72"/>
  <c r="N72" s="1"/>
  <c r="AV71"/>
  <c r="AR71"/>
  <c r="AS71" s="1"/>
  <c r="AK71"/>
  <c r="AO71" s="1"/>
  <c r="AJ71"/>
  <c r="N71"/>
  <c r="M71"/>
  <c r="AV70"/>
  <c r="AU70"/>
  <c r="AS70"/>
  <c r="AL70"/>
  <c r="AK70"/>
  <c r="AO70" s="1"/>
  <c r="AJ70"/>
  <c r="M70"/>
  <c r="N70" s="1"/>
  <c r="AV69"/>
  <c r="AU69"/>
  <c r="AS69"/>
  <c r="AK69"/>
  <c r="AJ69"/>
  <c r="N69"/>
  <c r="M69"/>
  <c r="AV68"/>
  <c r="AU68"/>
  <c r="AS68"/>
  <c r="AK68"/>
  <c r="AO68" s="1"/>
  <c r="AJ68"/>
  <c r="N68"/>
  <c r="M68"/>
  <c r="AV67"/>
  <c r="AU67"/>
  <c r="AS67"/>
  <c r="AK67"/>
  <c r="AO67" s="1"/>
  <c r="AJ67"/>
  <c r="N67"/>
  <c r="M67"/>
  <c r="AV66"/>
  <c r="AU66"/>
  <c r="AS66"/>
  <c r="AK66"/>
  <c r="AO66" s="1"/>
  <c r="AJ66"/>
  <c r="N66"/>
  <c r="M66"/>
  <c r="AV65"/>
  <c r="AU65"/>
  <c r="AS65"/>
  <c r="AK65"/>
  <c r="AO65" s="1"/>
  <c r="AJ65"/>
  <c r="N65"/>
  <c r="M65"/>
  <c r="AV64"/>
  <c r="AU64"/>
  <c r="AS64"/>
  <c r="AK64"/>
  <c r="AO64" s="1"/>
  <c r="AJ64"/>
  <c r="N64"/>
  <c r="M64"/>
  <c r="AV63"/>
  <c r="AU63"/>
  <c r="AS63"/>
  <c r="AK63"/>
  <c r="AO63" s="1"/>
  <c r="AJ63"/>
  <c r="N63"/>
  <c r="M63"/>
  <c r="AV62"/>
  <c r="AU62"/>
  <c r="AS62"/>
  <c r="AK62"/>
  <c r="AO62" s="1"/>
  <c r="AJ62"/>
  <c r="N62"/>
  <c r="M62"/>
  <c r="AV61"/>
  <c r="AU61"/>
  <c r="AS61"/>
  <c r="AK61"/>
  <c r="AO61" s="1"/>
  <c r="AJ61"/>
  <c r="N61"/>
  <c r="M61"/>
  <c r="AV60"/>
  <c r="AU60"/>
  <c r="AS60"/>
  <c r="AK60"/>
  <c r="AO60" s="1"/>
  <c r="AJ60"/>
  <c r="N60"/>
  <c r="M60"/>
  <c r="AV59"/>
  <c r="AU59"/>
  <c r="AS59"/>
  <c r="AK59"/>
  <c r="AO59" s="1"/>
  <c r="AJ59"/>
  <c r="N59"/>
  <c r="M59"/>
  <c r="AV58"/>
  <c r="AU58"/>
  <c r="AS58"/>
  <c r="AK58"/>
  <c r="AO58" s="1"/>
  <c r="AJ58"/>
  <c r="N58"/>
  <c r="M58"/>
  <c r="AV57"/>
  <c r="AU57"/>
  <c r="AS57"/>
  <c r="AK57"/>
  <c r="AO57" s="1"/>
  <c r="AJ57"/>
  <c r="N57"/>
  <c r="M57"/>
  <c r="AV56"/>
  <c r="AU56"/>
  <c r="AS56"/>
  <c r="AK56"/>
  <c r="AO56" s="1"/>
  <c r="AJ56"/>
  <c r="N56"/>
  <c r="M56"/>
  <c r="AV55"/>
  <c r="AU55"/>
  <c r="AS55"/>
  <c r="AK55"/>
  <c r="AO55" s="1"/>
  <c r="AJ55"/>
  <c r="N55"/>
  <c r="M55"/>
  <c r="AT54"/>
  <c r="AU54" s="1"/>
  <c r="AS54"/>
  <c r="AO54"/>
  <c r="AK54"/>
  <c r="AJ54"/>
  <c r="M54"/>
  <c r="N54" s="1"/>
  <c r="AV53"/>
  <c r="AU53"/>
  <c r="AS53"/>
  <c r="AL53"/>
  <c r="AM53" s="1"/>
  <c r="AO53" s="1"/>
  <c r="AK53"/>
  <c r="AJ53"/>
  <c r="M53"/>
  <c r="N53" s="1"/>
  <c r="AV52"/>
  <c r="AU52"/>
  <c r="AS52"/>
  <c r="AO52"/>
  <c r="AK52"/>
  <c r="AJ52"/>
  <c r="M52"/>
  <c r="N52" s="1"/>
  <c r="AV51"/>
  <c r="AU51"/>
  <c r="AS51"/>
  <c r="AK51"/>
  <c r="AJ51"/>
  <c r="N51"/>
  <c r="M51"/>
  <c r="AV50"/>
  <c r="AU50"/>
  <c r="AS50"/>
  <c r="AK50"/>
  <c r="AO50" s="1"/>
  <c r="AJ50"/>
  <c r="N50"/>
  <c r="M50"/>
  <c r="AV49"/>
  <c r="AU49"/>
  <c r="AS49"/>
  <c r="AK49"/>
  <c r="AO49" s="1"/>
  <c r="AJ49"/>
  <c r="N49"/>
  <c r="M49"/>
  <c r="AV48"/>
  <c r="AU48"/>
  <c r="AS48"/>
  <c r="AK48"/>
  <c r="AO48" s="1"/>
  <c r="AJ48"/>
  <c r="N48"/>
  <c r="M48"/>
  <c r="AV47"/>
  <c r="AU47"/>
  <c r="AS47"/>
  <c r="AK47"/>
  <c r="AO47" s="1"/>
  <c r="AJ47"/>
  <c r="N47"/>
  <c r="M47"/>
  <c r="AT46"/>
  <c r="AU46" s="1"/>
  <c r="AS46"/>
  <c r="AO46"/>
  <c r="AK46"/>
  <c r="AJ46"/>
  <c r="M46"/>
  <c r="N46" s="1"/>
  <c r="AU45"/>
  <c r="AT45"/>
  <c r="AV45" s="1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K43"/>
  <c r="AO43" s="1"/>
  <c r="AJ43"/>
  <c r="N43"/>
  <c r="M43"/>
  <c r="AV42"/>
  <c r="AU42"/>
  <c r="AS42"/>
  <c r="AM42"/>
  <c r="AK42"/>
  <c r="AO42" s="1"/>
  <c r="AJ42"/>
  <c r="M42"/>
  <c r="N42" s="1"/>
  <c r="AU41"/>
  <c r="AT41"/>
  <c r="AV41" s="1"/>
  <c r="AS41"/>
  <c r="AK41"/>
  <c r="AO41" s="1"/>
  <c r="AJ41"/>
  <c r="N41"/>
  <c r="M41"/>
  <c r="AV40"/>
  <c r="AU40"/>
  <c r="AS40"/>
  <c r="AK40"/>
  <c r="AO40" s="1"/>
  <c r="AJ40"/>
  <c r="N40"/>
  <c r="M40"/>
  <c r="AV39"/>
  <c r="AU39"/>
  <c r="AS39"/>
  <c r="AM39"/>
  <c r="AL39"/>
  <c r="AK39"/>
  <c r="AO39" s="1"/>
  <c r="AJ39"/>
  <c r="N39"/>
  <c r="M39"/>
  <c r="AV38"/>
  <c r="AU38"/>
  <c r="AS38"/>
  <c r="AK38"/>
  <c r="AO38" s="1"/>
  <c r="AJ38"/>
  <c r="N38"/>
  <c r="M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V33"/>
  <c r="AU33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V27"/>
  <c r="AU27"/>
  <c r="AS27"/>
  <c r="AK27"/>
  <c r="AO27" s="1"/>
  <c r="AJ27"/>
  <c r="N27"/>
  <c r="M27"/>
  <c r="AV26"/>
  <c r="AU26"/>
  <c r="AS26"/>
  <c r="AO26"/>
  <c r="AM26"/>
  <c r="AL26"/>
  <c r="AK26"/>
  <c r="AJ26"/>
  <c r="AV25"/>
  <c r="AU25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V22"/>
  <c r="AU22"/>
  <c r="AS22"/>
  <c r="AO22"/>
  <c r="AM22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J18"/>
  <c r="N18"/>
  <c r="M18"/>
  <c r="AV17"/>
  <c r="AU17"/>
  <c r="AS17"/>
  <c r="AL17"/>
  <c r="AL91" s="1"/>
  <c r="AK17"/>
  <c r="AK91" s="1"/>
  <c r="AJ17"/>
  <c r="AJ91" s="1"/>
  <c r="N17"/>
  <c r="M17"/>
  <c r="AQ91" i="45"/>
  <c r="AP91"/>
  <c r="AN91"/>
  <c r="AI91"/>
  <c r="AH91"/>
  <c r="AG91"/>
  <c r="AF91"/>
  <c r="AD91"/>
  <c r="AC91"/>
  <c r="AB91"/>
  <c r="T91"/>
  <c r="R91"/>
  <c r="P91"/>
  <c r="K91"/>
  <c r="AV90"/>
  <c r="AU90"/>
  <c r="AS90"/>
  <c r="AJ90"/>
  <c r="AE90"/>
  <c r="AK90" s="1"/>
  <c r="AO90" s="1"/>
  <c r="N90"/>
  <c r="M90"/>
  <c r="AV89"/>
  <c r="AU89"/>
  <c r="AS89"/>
  <c r="AK89"/>
  <c r="AO89" s="1"/>
  <c r="AJ89"/>
  <c r="N89"/>
  <c r="M89"/>
  <c r="AV88"/>
  <c r="AU88"/>
  <c r="AS88"/>
  <c r="AK88"/>
  <c r="AO88" s="1"/>
  <c r="AJ88"/>
  <c r="N88"/>
  <c r="M88"/>
  <c r="AV87"/>
  <c r="AU87"/>
  <c r="AS87"/>
  <c r="AK87"/>
  <c r="AO87" s="1"/>
  <c r="AJ87"/>
  <c r="N87"/>
  <c r="M87"/>
  <c r="AV86"/>
  <c r="AU86"/>
  <c r="AS86"/>
  <c r="AK86"/>
  <c r="AO86" s="1"/>
  <c r="AJ86"/>
  <c r="N86"/>
  <c r="M86"/>
  <c r="AV85"/>
  <c r="AU85"/>
  <c r="AS85"/>
  <c r="AK85"/>
  <c r="AO85" s="1"/>
  <c r="AJ85"/>
  <c r="N85"/>
  <c r="M85"/>
  <c r="AV84"/>
  <c r="AU84"/>
  <c r="AS84"/>
  <c r="AK84"/>
  <c r="AO84" s="1"/>
  <c r="AJ84"/>
  <c r="N84"/>
  <c r="M84"/>
  <c r="AV83"/>
  <c r="AU83"/>
  <c r="AS83"/>
  <c r="AK83"/>
  <c r="AJ83"/>
  <c r="M83"/>
  <c r="N83" s="1"/>
  <c r="AV82"/>
  <c r="AU82"/>
  <c r="AS82"/>
  <c r="AO82"/>
  <c r="AK82"/>
  <c r="AJ82"/>
  <c r="M82"/>
  <c r="N82" s="1"/>
  <c r="AU81"/>
  <c r="AT81"/>
  <c r="AV81" s="1"/>
  <c r="AS81"/>
  <c r="AM81"/>
  <c r="AL81"/>
  <c r="AK81"/>
  <c r="AO81" s="1"/>
  <c r="AJ81"/>
  <c r="N81"/>
  <c r="M81"/>
  <c r="AV80"/>
  <c r="AU80"/>
  <c r="AS80"/>
  <c r="AK80"/>
  <c r="AO80" s="1"/>
  <c r="AJ80"/>
  <c r="N80"/>
  <c r="M80"/>
  <c r="AV79"/>
  <c r="AU79"/>
  <c r="AS79"/>
  <c r="AK79"/>
  <c r="AO79" s="1"/>
  <c r="AJ79"/>
  <c r="N79"/>
  <c r="M79"/>
  <c r="AV78"/>
  <c r="AU78"/>
  <c r="AS78"/>
  <c r="AK78"/>
  <c r="AO78" s="1"/>
  <c r="AJ78"/>
  <c r="N78"/>
  <c r="M78"/>
  <c r="AV77"/>
  <c r="AU77"/>
  <c r="AS77"/>
  <c r="AK77"/>
  <c r="AO77" s="1"/>
  <c r="AJ77"/>
  <c r="N77"/>
  <c r="M77"/>
  <c r="AV76"/>
  <c r="AU76"/>
  <c r="AS76"/>
  <c r="AK76"/>
  <c r="AO76" s="1"/>
  <c r="AJ76"/>
  <c r="N76"/>
  <c r="M76"/>
  <c r="AV75"/>
  <c r="AU75"/>
  <c r="AS75"/>
  <c r="AK75"/>
  <c r="AO75" s="1"/>
  <c r="AJ75"/>
  <c r="N75"/>
  <c r="M75"/>
  <c r="AV74"/>
  <c r="AU74"/>
  <c r="AS74"/>
  <c r="AK74"/>
  <c r="AO74" s="1"/>
  <c r="AJ74"/>
  <c r="N74"/>
  <c r="M74"/>
  <c r="AV73"/>
  <c r="AU73"/>
  <c r="AS73"/>
  <c r="AK73"/>
  <c r="AO73" s="1"/>
  <c r="AJ73"/>
  <c r="N73"/>
  <c r="M73"/>
  <c r="AV72"/>
  <c r="AS72"/>
  <c r="AR72"/>
  <c r="AU72" s="1"/>
  <c r="AO72"/>
  <c r="AK72"/>
  <c r="AJ72"/>
  <c r="M72"/>
  <c r="N72" s="1"/>
  <c r="AV71"/>
  <c r="AR71"/>
  <c r="AS71" s="1"/>
  <c r="AK71"/>
  <c r="AO71" s="1"/>
  <c r="AJ71"/>
  <c r="N71"/>
  <c r="M71"/>
  <c r="AV70"/>
  <c r="AU70"/>
  <c r="AS70"/>
  <c r="AL70"/>
  <c r="AK70"/>
  <c r="AO70" s="1"/>
  <c r="AJ70"/>
  <c r="M70"/>
  <c r="N70" s="1"/>
  <c r="AV69"/>
  <c r="AU69"/>
  <c r="AS69"/>
  <c r="AK69"/>
  <c r="AJ69"/>
  <c r="N69"/>
  <c r="M69"/>
  <c r="AV68"/>
  <c r="AU68"/>
  <c r="AS68"/>
  <c r="AK68"/>
  <c r="AO68" s="1"/>
  <c r="AJ68"/>
  <c r="N68"/>
  <c r="M68"/>
  <c r="AV67"/>
  <c r="AU67"/>
  <c r="AS67"/>
  <c r="AK67"/>
  <c r="AO67" s="1"/>
  <c r="AJ67"/>
  <c r="N67"/>
  <c r="M67"/>
  <c r="AV66"/>
  <c r="AU66"/>
  <c r="AS66"/>
  <c r="AK66"/>
  <c r="AO66" s="1"/>
  <c r="AJ66"/>
  <c r="N66"/>
  <c r="M66"/>
  <c r="AV65"/>
  <c r="AU65"/>
  <c r="AS65"/>
  <c r="AK65"/>
  <c r="AO65" s="1"/>
  <c r="AJ65"/>
  <c r="N65"/>
  <c r="M65"/>
  <c r="AV64"/>
  <c r="AU64"/>
  <c r="AS64"/>
  <c r="AK64"/>
  <c r="AO64" s="1"/>
  <c r="AJ64"/>
  <c r="N64"/>
  <c r="M64"/>
  <c r="AV63"/>
  <c r="AU63"/>
  <c r="AS63"/>
  <c r="AK63"/>
  <c r="AO63" s="1"/>
  <c r="AJ63"/>
  <c r="N63"/>
  <c r="M63"/>
  <c r="AV62"/>
  <c r="AU62"/>
  <c r="AS62"/>
  <c r="AK62"/>
  <c r="AO62" s="1"/>
  <c r="AJ62"/>
  <c r="N62"/>
  <c r="M62"/>
  <c r="AV61"/>
  <c r="AU61"/>
  <c r="AS61"/>
  <c r="AK61"/>
  <c r="AO61" s="1"/>
  <c r="AJ61"/>
  <c r="N61"/>
  <c r="M61"/>
  <c r="AV60"/>
  <c r="AU60"/>
  <c r="AS60"/>
  <c r="AK60"/>
  <c r="AO60" s="1"/>
  <c r="AJ60"/>
  <c r="N60"/>
  <c r="M60"/>
  <c r="AV59"/>
  <c r="AU59"/>
  <c r="AS59"/>
  <c r="AK59"/>
  <c r="AO59" s="1"/>
  <c r="AJ59"/>
  <c r="N59"/>
  <c r="M59"/>
  <c r="AV58"/>
  <c r="AU58"/>
  <c r="AS58"/>
  <c r="AK58"/>
  <c r="AO58" s="1"/>
  <c r="AJ58"/>
  <c r="N58"/>
  <c r="M58"/>
  <c r="AV57"/>
  <c r="AU57"/>
  <c r="AS57"/>
  <c r="AK57"/>
  <c r="AO57" s="1"/>
  <c r="AJ57"/>
  <c r="N57"/>
  <c r="M57"/>
  <c r="AV56"/>
  <c r="AU56"/>
  <c r="AS56"/>
  <c r="AK56"/>
  <c r="AO56" s="1"/>
  <c r="AJ56"/>
  <c r="N56"/>
  <c r="M56"/>
  <c r="AV55"/>
  <c r="AU55"/>
  <c r="AS55"/>
  <c r="AK55"/>
  <c r="AO55" s="1"/>
  <c r="AJ55"/>
  <c r="N55"/>
  <c r="M55"/>
  <c r="AT54"/>
  <c r="AU54" s="1"/>
  <c r="AS54"/>
  <c r="AO54"/>
  <c r="AK54"/>
  <c r="AJ54"/>
  <c r="M54"/>
  <c r="N54" s="1"/>
  <c r="AV53"/>
  <c r="AU53"/>
  <c r="AS53"/>
  <c r="AL53"/>
  <c r="AM53" s="1"/>
  <c r="AO53" s="1"/>
  <c r="AK53"/>
  <c r="AJ53"/>
  <c r="M53"/>
  <c r="N53" s="1"/>
  <c r="AV52"/>
  <c r="AU52"/>
  <c r="AS52"/>
  <c r="AO52"/>
  <c r="AK52"/>
  <c r="AJ52"/>
  <c r="M52"/>
  <c r="N52" s="1"/>
  <c r="AV51"/>
  <c r="AU51"/>
  <c r="AS51"/>
  <c r="AK51"/>
  <c r="AJ51"/>
  <c r="N51"/>
  <c r="M51"/>
  <c r="AV50"/>
  <c r="AU50"/>
  <c r="AS50"/>
  <c r="AK50"/>
  <c r="AO50" s="1"/>
  <c r="AJ50"/>
  <c r="N50"/>
  <c r="M50"/>
  <c r="AV49"/>
  <c r="AU49"/>
  <c r="AS49"/>
  <c r="AK49"/>
  <c r="AO49" s="1"/>
  <c r="AJ49"/>
  <c r="N49"/>
  <c r="M49"/>
  <c r="AV48"/>
  <c r="AU48"/>
  <c r="AS48"/>
  <c r="AK48"/>
  <c r="AO48" s="1"/>
  <c r="AJ48"/>
  <c r="N48"/>
  <c r="M48"/>
  <c r="AV47"/>
  <c r="AU47"/>
  <c r="AS47"/>
  <c r="AK47"/>
  <c r="AO47" s="1"/>
  <c r="AJ47"/>
  <c r="N47"/>
  <c r="M47"/>
  <c r="AT46"/>
  <c r="AU46" s="1"/>
  <c r="AS46"/>
  <c r="AO46"/>
  <c r="AK46"/>
  <c r="AJ46"/>
  <c r="M46"/>
  <c r="N46" s="1"/>
  <c r="AU45"/>
  <c r="AT45"/>
  <c r="AV45" s="1"/>
  <c r="AS45"/>
  <c r="AK45"/>
  <c r="AO45" s="1"/>
  <c r="AJ45"/>
  <c r="N45"/>
  <c r="M45"/>
  <c r="AV44"/>
  <c r="AU44"/>
  <c r="AS44"/>
  <c r="AK44"/>
  <c r="AO44" s="1"/>
  <c r="AJ44"/>
  <c r="N44"/>
  <c r="M44"/>
  <c r="AV43"/>
  <c r="AU43"/>
  <c r="AS43"/>
  <c r="AK43"/>
  <c r="AO43" s="1"/>
  <c r="AJ43"/>
  <c r="N43"/>
  <c r="M43"/>
  <c r="AV42"/>
  <c r="AU42"/>
  <c r="AS42"/>
  <c r="AM42"/>
  <c r="AK42"/>
  <c r="AO42" s="1"/>
  <c r="AJ42"/>
  <c r="M42"/>
  <c r="N42" s="1"/>
  <c r="AU41"/>
  <c r="AT41"/>
  <c r="AV41" s="1"/>
  <c r="AS41"/>
  <c r="AK41"/>
  <c r="AO41" s="1"/>
  <c r="AJ41"/>
  <c r="N41"/>
  <c r="M41"/>
  <c r="AV40"/>
  <c r="AU40"/>
  <c r="AS40"/>
  <c r="AK40"/>
  <c r="AO40" s="1"/>
  <c r="AJ40"/>
  <c r="N40"/>
  <c r="M40"/>
  <c r="AV39"/>
  <c r="AU39"/>
  <c r="AS39"/>
  <c r="AM39"/>
  <c r="AL39"/>
  <c r="AK39"/>
  <c r="AO39" s="1"/>
  <c r="AJ39"/>
  <c r="N39"/>
  <c r="M39"/>
  <c r="AV38"/>
  <c r="AU38"/>
  <c r="AS38"/>
  <c r="AK38"/>
  <c r="AO38" s="1"/>
  <c r="AJ38"/>
  <c r="N38"/>
  <c r="M38"/>
  <c r="AV37"/>
  <c r="AU37"/>
  <c r="AS37"/>
  <c r="AM37"/>
  <c r="AL37"/>
  <c r="AK37"/>
  <c r="AO37" s="1"/>
  <c r="AJ37"/>
  <c r="N37"/>
  <c r="M37"/>
  <c r="AV36"/>
  <c r="AU36"/>
  <c r="AS36"/>
  <c r="AK36"/>
  <c r="AO36" s="1"/>
  <c r="AJ36"/>
  <c r="N36"/>
  <c r="M36"/>
  <c r="AV35"/>
  <c r="AU35"/>
  <c r="AS35"/>
  <c r="AM35"/>
  <c r="AL35"/>
  <c r="AK35"/>
  <c r="AO35" s="1"/>
  <c r="AJ35"/>
  <c r="N35"/>
  <c r="M35"/>
  <c r="AV34"/>
  <c r="AU34"/>
  <c r="AS34"/>
  <c r="AK34"/>
  <c r="AO34" s="1"/>
  <c r="AJ34"/>
  <c r="N34"/>
  <c r="M34"/>
  <c r="AV33"/>
  <c r="AU33"/>
  <c r="AS33"/>
  <c r="AM33"/>
  <c r="AK33"/>
  <c r="AO33" s="1"/>
  <c r="AJ33"/>
  <c r="M33"/>
  <c r="N33" s="1"/>
  <c r="AV32"/>
  <c r="AM32"/>
  <c r="AR32" s="1"/>
  <c r="AL32"/>
  <c r="AK32"/>
  <c r="AO32" s="1"/>
  <c r="AJ32"/>
  <c r="N32"/>
  <c r="M32"/>
  <c r="AV31"/>
  <c r="AL31"/>
  <c r="AR31" s="1"/>
  <c r="AK31"/>
  <c r="AO31" s="1"/>
  <c r="AJ31"/>
  <c r="N31"/>
  <c r="M31"/>
  <c r="AV30"/>
  <c r="AO30"/>
  <c r="AM30"/>
  <c r="AR30" s="1"/>
  <c r="AL30"/>
  <c r="AK30"/>
  <c r="AJ30"/>
  <c r="M30"/>
  <c r="N30" s="1"/>
  <c r="AV29"/>
  <c r="AU29"/>
  <c r="AS29"/>
  <c r="AO29"/>
  <c r="AM29"/>
  <c r="AK29"/>
  <c r="AJ29"/>
  <c r="N29"/>
  <c r="M29"/>
  <c r="AV28"/>
  <c r="AU28"/>
  <c r="AS28"/>
  <c r="AO28"/>
  <c r="AK28"/>
  <c r="AJ28"/>
  <c r="N28"/>
  <c r="M28"/>
  <c r="AV27"/>
  <c r="AU27"/>
  <c r="AS27"/>
  <c r="AK27"/>
  <c r="AO27" s="1"/>
  <c r="AJ27"/>
  <c r="N27"/>
  <c r="M27"/>
  <c r="AV26"/>
  <c r="AU26"/>
  <c r="AS26"/>
  <c r="AO26"/>
  <c r="AM26"/>
  <c r="AL26"/>
  <c r="AK26"/>
  <c r="AJ26"/>
  <c r="AV25"/>
  <c r="AU25"/>
  <c r="AS25"/>
  <c r="AK25"/>
  <c r="AO25" s="1"/>
  <c r="AJ25"/>
  <c r="N25"/>
  <c r="M25"/>
  <c r="AV24"/>
  <c r="AU24"/>
  <c r="AS24"/>
  <c r="AO24"/>
  <c r="AM24"/>
  <c r="AL24"/>
  <c r="AK24"/>
  <c r="AJ24"/>
  <c r="AV23"/>
  <c r="AU23"/>
  <c r="AS23"/>
  <c r="AK23"/>
  <c r="AO23" s="1"/>
  <c r="AJ23"/>
  <c r="N23"/>
  <c r="M23"/>
  <c r="AV22"/>
  <c r="AU22"/>
  <c r="AS22"/>
  <c r="AO22"/>
  <c r="AM22"/>
  <c r="AM91" s="1"/>
  <c r="AL22"/>
  <c r="AK22"/>
  <c r="AJ22"/>
  <c r="N22"/>
  <c r="M22"/>
  <c r="AV21"/>
  <c r="AU21"/>
  <c r="AS21"/>
  <c r="AK21"/>
  <c r="AO21" s="1"/>
  <c r="AJ21"/>
  <c r="N21"/>
  <c r="M21"/>
  <c r="AV20"/>
  <c r="AU20"/>
  <c r="AS20"/>
  <c r="AK20"/>
  <c r="AO20" s="1"/>
  <c r="AJ20"/>
  <c r="N20"/>
  <c r="M20"/>
  <c r="AV19"/>
  <c r="AU19"/>
  <c r="AS19"/>
  <c r="AK19"/>
  <c r="AO19" s="1"/>
  <c r="AJ19"/>
  <c r="N19"/>
  <c r="M19"/>
  <c r="AV18"/>
  <c r="AU18"/>
  <c r="AS18"/>
  <c r="AK18"/>
  <c r="AO18" s="1"/>
  <c r="AO91" s="1"/>
  <c r="AJ18"/>
  <c r="N18"/>
  <c r="M18"/>
  <c r="AV17"/>
  <c r="AU17"/>
  <c r="AS17"/>
  <c r="AL17"/>
  <c r="AL91" s="1"/>
  <c r="AK17"/>
  <c r="AK91" s="1"/>
  <c r="AJ17"/>
  <c r="AJ91" s="1"/>
  <c r="N17"/>
  <c r="N91" s="1"/>
  <c r="M17"/>
  <c r="AT41" i="44"/>
  <c r="AU41" s="1"/>
  <c r="AT81"/>
  <c r="AU81" s="1"/>
  <c r="AT54"/>
  <c r="AV54" s="1"/>
  <c r="AT46"/>
  <c r="AT45"/>
  <c r="AV45" s="1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6"/>
  <c r="AV47"/>
  <c r="AV48"/>
  <c r="AV49"/>
  <c r="AV50"/>
  <c r="AV51"/>
  <c r="AV52"/>
  <c r="AV53"/>
  <c r="AV55"/>
  <c r="AV56"/>
  <c r="AV57"/>
  <c r="AV58"/>
  <c r="AV59"/>
  <c r="AV60"/>
  <c r="AV61"/>
  <c r="AV62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2"/>
  <c r="AV83"/>
  <c r="AV84"/>
  <c r="AV85"/>
  <c r="AV86"/>
  <c r="AV87"/>
  <c r="AV88"/>
  <c r="AV89"/>
  <c r="AV90"/>
  <c r="AV17"/>
  <c r="AQ91"/>
  <c r="AP91"/>
  <c r="AN91"/>
  <c r="AI91"/>
  <c r="AH91"/>
  <c r="AG91"/>
  <c r="AF91"/>
  <c r="AD91"/>
  <c r="AC91"/>
  <c r="AB91"/>
  <c r="T91"/>
  <c r="R91"/>
  <c r="P91"/>
  <c r="K91"/>
  <c r="AU90"/>
  <c r="AS90"/>
  <c r="AJ90"/>
  <c r="AE90"/>
  <c r="AE91" s="1"/>
  <c r="M90"/>
  <c r="N90" s="1"/>
  <c r="AU89"/>
  <c r="AS89"/>
  <c r="AK89"/>
  <c r="AO89" s="1"/>
  <c r="AJ89"/>
  <c r="N89"/>
  <c r="M89"/>
  <c r="AU88"/>
  <c r="AS88"/>
  <c r="AO88"/>
  <c r="AK88"/>
  <c r="AJ88"/>
  <c r="M88"/>
  <c r="N88" s="1"/>
  <c r="AU87"/>
  <c r="AS87"/>
  <c r="AK87"/>
  <c r="AO87" s="1"/>
  <c r="AJ87"/>
  <c r="N87"/>
  <c r="M87"/>
  <c r="AU86"/>
  <c r="AS86"/>
  <c r="AO86"/>
  <c r="AK86"/>
  <c r="AJ86"/>
  <c r="M86"/>
  <c r="N86" s="1"/>
  <c r="AU85"/>
  <c r="AS85"/>
  <c r="AK85"/>
  <c r="AO85" s="1"/>
  <c r="AJ85"/>
  <c r="N85"/>
  <c r="M85"/>
  <c r="AU84"/>
  <c r="AS84"/>
  <c r="AO84"/>
  <c r="AK84"/>
  <c r="AJ84"/>
  <c r="M84"/>
  <c r="N84" s="1"/>
  <c r="AU83"/>
  <c r="AS83"/>
  <c r="AK83"/>
  <c r="AJ83"/>
  <c r="M83"/>
  <c r="N83" s="1"/>
  <c r="AU82"/>
  <c r="AS82"/>
  <c r="AK82"/>
  <c r="AO82" s="1"/>
  <c r="AJ82"/>
  <c r="N82"/>
  <c r="M82"/>
  <c r="AS81"/>
  <c r="AL81"/>
  <c r="AM81" s="1"/>
  <c r="AO81" s="1"/>
  <c r="AK81"/>
  <c r="AJ81"/>
  <c r="M81"/>
  <c r="N81" s="1"/>
  <c r="AU80"/>
  <c r="AS80"/>
  <c r="AK80"/>
  <c r="AO80" s="1"/>
  <c r="AJ80"/>
  <c r="N80"/>
  <c r="M80"/>
  <c r="AU79"/>
  <c r="AS79"/>
  <c r="AO79"/>
  <c r="AK79"/>
  <c r="AJ79"/>
  <c r="M79"/>
  <c r="N79" s="1"/>
  <c r="AU78"/>
  <c r="AS78"/>
  <c r="AK78"/>
  <c r="AO78" s="1"/>
  <c r="AJ78"/>
  <c r="N78"/>
  <c r="M78"/>
  <c r="AU77"/>
  <c r="AS77"/>
  <c r="AO77"/>
  <c r="AK77"/>
  <c r="AJ77"/>
  <c r="M77"/>
  <c r="N77" s="1"/>
  <c r="AU76"/>
  <c r="AS76"/>
  <c r="AK76"/>
  <c r="AO76" s="1"/>
  <c r="AJ76"/>
  <c r="N76"/>
  <c r="M76"/>
  <c r="AU75"/>
  <c r="AS75"/>
  <c r="AO75"/>
  <c r="AK75"/>
  <c r="AJ75"/>
  <c r="M75"/>
  <c r="N75" s="1"/>
  <c r="AU74"/>
  <c r="AS74"/>
  <c r="AK74"/>
  <c r="AO74" s="1"/>
  <c r="AJ74"/>
  <c r="N74"/>
  <c r="M74"/>
  <c r="AU73"/>
  <c r="AS73"/>
  <c r="AO73"/>
  <c r="AK73"/>
  <c r="AJ73"/>
  <c r="M73"/>
  <c r="N73" s="1"/>
  <c r="AS72"/>
  <c r="AR72"/>
  <c r="AU72" s="1"/>
  <c r="AO72"/>
  <c r="AK72"/>
  <c r="AJ72"/>
  <c r="M72"/>
  <c r="N72" s="1"/>
  <c r="AS71"/>
  <c r="AR71"/>
  <c r="AU71" s="1"/>
  <c r="AO71"/>
  <c r="AK71"/>
  <c r="AJ71"/>
  <c r="M71"/>
  <c r="N71" s="1"/>
  <c r="AU70"/>
  <c r="AS70"/>
  <c r="AL70"/>
  <c r="AK70"/>
  <c r="AO70" s="1"/>
  <c r="AJ70"/>
  <c r="M70"/>
  <c r="N70" s="1"/>
  <c r="AU69"/>
  <c r="AS69"/>
  <c r="AK69"/>
  <c r="AJ69"/>
  <c r="M69"/>
  <c r="N69" s="1"/>
  <c r="AU68"/>
  <c r="AS68"/>
  <c r="AK68"/>
  <c r="AO68" s="1"/>
  <c r="AJ68"/>
  <c r="N68"/>
  <c r="M68"/>
  <c r="AU67"/>
  <c r="AS67"/>
  <c r="AO67"/>
  <c r="AK67"/>
  <c r="AJ67"/>
  <c r="M67"/>
  <c r="N67" s="1"/>
  <c r="AU66"/>
  <c r="AS66"/>
  <c r="AK66"/>
  <c r="AO66" s="1"/>
  <c r="AJ66"/>
  <c r="N66"/>
  <c r="M66"/>
  <c r="AU65"/>
  <c r="AS65"/>
  <c r="AO65"/>
  <c r="AK65"/>
  <c r="AJ65"/>
  <c r="M65"/>
  <c r="N65" s="1"/>
  <c r="AU64"/>
  <c r="AS64"/>
  <c r="AK64"/>
  <c r="AO64" s="1"/>
  <c r="AJ64"/>
  <c r="N64"/>
  <c r="M64"/>
  <c r="AU63"/>
  <c r="AS63"/>
  <c r="AO63"/>
  <c r="AK63"/>
  <c r="AJ63"/>
  <c r="M63"/>
  <c r="N63" s="1"/>
  <c r="AU62"/>
  <c r="AS62"/>
  <c r="AK62"/>
  <c r="AO62" s="1"/>
  <c r="AJ62"/>
  <c r="N62"/>
  <c r="M62"/>
  <c r="AU61"/>
  <c r="AS61"/>
  <c r="AO61"/>
  <c r="AK61"/>
  <c r="AJ61"/>
  <c r="M61"/>
  <c r="N61" s="1"/>
  <c r="AU60"/>
  <c r="AS60"/>
  <c r="AK60"/>
  <c r="AO60" s="1"/>
  <c r="AJ60"/>
  <c r="N60"/>
  <c r="M60"/>
  <c r="AU59"/>
  <c r="AS59"/>
  <c r="AO59"/>
  <c r="AK59"/>
  <c r="AJ59"/>
  <c r="M59"/>
  <c r="N59" s="1"/>
  <c r="AU58"/>
  <c r="AS58"/>
  <c r="AK58"/>
  <c r="AO58" s="1"/>
  <c r="AJ58"/>
  <c r="N58"/>
  <c r="M58"/>
  <c r="AU57"/>
  <c r="AS57"/>
  <c r="AO57"/>
  <c r="AK57"/>
  <c r="AJ57"/>
  <c r="M57"/>
  <c r="N57" s="1"/>
  <c r="AU56"/>
  <c r="AS56"/>
  <c r="AK56"/>
  <c r="AO56" s="1"/>
  <c r="AJ56"/>
  <c r="N56"/>
  <c r="M56"/>
  <c r="AU55"/>
  <c r="AS55"/>
  <c r="AO55"/>
  <c r="AK55"/>
  <c r="AJ55"/>
  <c r="M55"/>
  <c r="N55" s="1"/>
  <c r="AU54"/>
  <c r="AS54"/>
  <c r="AK54"/>
  <c r="AO54" s="1"/>
  <c r="AJ54"/>
  <c r="N54"/>
  <c r="M54"/>
  <c r="AU53"/>
  <c r="AS53"/>
  <c r="AL53"/>
  <c r="AM53" s="1"/>
  <c r="AO53" s="1"/>
  <c r="AK53"/>
  <c r="AJ53"/>
  <c r="M53"/>
  <c r="N53" s="1"/>
  <c r="AU52"/>
  <c r="AS52"/>
  <c r="AK52"/>
  <c r="AO52" s="1"/>
  <c r="AJ52"/>
  <c r="N52"/>
  <c r="M52"/>
  <c r="AU51"/>
  <c r="AS51"/>
  <c r="AK51"/>
  <c r="AJ51"/>
  <c r="N51"/>
  <c r="M51"/>
  <c r="AU50"/>
  <c r="AS50"/>
  <c r="AO50"/>
  <c r="AK50"/>
  <c r="AJ50"/>
  <c r="M50"/>
  <c r="N50" s="1"/>
  <c r="AU49"/>
  <c r="AS49"/>
  <c r="AK49"/>
  <c r="AO49" s="1"/>
  <c r="AJ49"/>
  <c r="N49"/>
  <c r="M49"/>
  <c r="AU48"/>
  <c r="AS48"/>
  <c r="AO48"/>
  <c r="AK48"/>
  <c r="AJ48"/>
  <c r="M48"/>
  <c r="N48" s="1"/>
  <c r="AU47"/>
  <c r="AS47"/>
  <c r="AK47"/>
  <c r="AO47" s="1"/>
  <c r="AJ47"/>
  <c r="N47"/>
  <c r="M47"/>
  <c r="AS46"/>
  <c r="AO46"/>
  <c r="AK46"/>
  <c r="AJ46"/>
  <c r="M46"/>
  <c r="N46" s="1"/>
  <c r="AS45"/>
  <c r="AK45"/>
  <c r="AO45" s="1"/>
  <c r="AJ45"/>
  <c r="N45"/>
  <c r="M45"/>
  <c r="AU44"/>
  <c r="AS44"/>
  <c r="AO44"/>
  <c r="AK44"/>
  <c r="AJ44"/>
  <c r="M44"/>
  <c r="N44" s="1"/>
  <c r="AU43"/>
  <c r="AS43"/>
  <c r="AK43"/>
  <c r="AO43" s="1"/>
  <c r="AJ43"/>
  <c r="N43"/>
  <c r="M43"/>
  <c r="AU42"/>
  <c r="AS42"/>
  <c r="AM42"/>
  <c r="AK42"/>
  <c r="AO42" s="1"/>
  <c r="AJ42"/>
  <c r="N42"/>
  <c r="M42"/>
  <c r="AS41"/>
  <c r="AO41"/>
  <c r="AK41"/>
  <c r="AJ41"/>
  <c r="M41"/>
  <c r="N41" s="1"/>
  <c r="AU40"/>
  <c r="AS40"/>
  <c r="AK40"/>
  <c r="AO40" s="1"/>
  <c r="AJ40"/>
  <c r="N40"/>
  <c r="M40"/>
  <c r="AU39"/>
  <c r="AS39"/>
  <c r="AO39"/>
  <c r="AM39"/>
  <c r="AL39"/>
  <c r="AK39"/>
  <c r="AJ39"/>
  <c r="M39"/>
  <c r="N39" s="1"/>
  <c r="AU38"/>
  <c r="AS38"/>
  <c r="AK38"/>
  <c r="AO38" s="1"/>
  <c r="AJ38"/>
  <c r="N38"/>
  <c r="M38"/>
  <c r="AU37"/>
  <c r="AS37"/>
  <c r="AO37"/>
  <c r="AM37"/>
  <c r="AL37"/>
  <c r="AK37"/>
  <c r="AJ37"/>
  <c r="M37"/>
  <c r="N37" s="1"/>
  <c r="AU36"/>
  <c r="AS36"/>
  <c r="AK36"/>
  <c r="AO36" s="1"/>
  <c r="AJ36"/>
  <c r="N36"/>
  <c r="M36"/>
  <c r="AU35"/>
  <c r="AS35"/>
  <c r="AO35"/>
  <c r="AM35"/>
  <c r="AL35"/>
  <c r="AK35"/>
  <c r="AJ35"/>
  <c r="M35"/>
  <c r="N35" s="1"/>
  <c r="AU34"/>
  <c r="AS34"/>
  <c r="AK34"/>
  <c r="AO34" s="1"/>
  <c r="AJ34"/>
  <c r="N34"/>
  <c r="M34"/>
  <c r="AU33"/>
  <c r="AS33"/>
  <c r="AM33"/>
  <c r="AK33"/>
  <c r="AO33" s="1"/>
  <c r="AJ33"/>
  <c r="N33"/>
  <c r="M33"/>
  <c r="AM32"/>
  <c r="AR32" s="1"/>
  <c r="AL32"/>
  <c r="AK32"/>
  <c r="AO32" s="1"/>
  <c r="AJ32"/>
  <c r="N32"/>
  <c r="M32"/>
  <c r="AL31"/>
  <c r="AR31" s="1"/>
  <c r="AK31"/>
  <c r="AO31" s="1"/>
  <c r="AJ31"/>
  <c r="M31"/>
  <c r="N31" s="1"/>
  <c r="AO30"/>
  <c r="AM30"/>
  <c r="AR30" s="1"/>
  <c r="AL30"/>
  <c r="AK30"/>
  <c r="AJ30"/>
  <c r="M30"/>
  <c r="N30" s="1"/>
  <c r="AU29"/>
  <c r="AS29"/>
  <c r="AO29"/>
  <c r="AM29"/>
  <c r="AK29"/>
  <c r="AJ29"/>
  <c r="M29"/>
  <c r="N29" s="1"/>
  <c r="AU28"/>
  <c r="AS28"/>
  <c r="AO28"/>
  <c r="AK28"/>
  <c r="AJ28"/>
  <c r="N28"/>
  <c r="M28"/>
  <c r="AU27"/>
  <c r="AS27"/>
  <c r="AO27"/>
  <c r="AK27"/>
  <c r="AJ27"/>
  <c r="M27"/>
  <c r="N27" s="1"/>
  <c r="AU26"/>
  <c r="AS26"/>
  <c r="AO26"/>
  <c r="AM26"/>
  <c r="AL26"/>
  <c r="AK26"/>
  <c r="AJ26"/>
  <c r="AU25"/>
  <c r="AS25"/>
  <c r="AO25"/>
  <c r="AK25"/>
  <c r="AJ25"/>
  <c r="M25"/>
  <c r="N25" s="1"/>
  <c r="AU24"/>
  <c r="AS24"/>
  <c r="AO24"/>
  <c r="AM24"/>
  <c r="AL24"/>
  <c r="AK24"/>
  <c r="AJ24"/>
  <c r="AU23"/>
  <c r="AS23"/>
  <c r="AO23"/>
  <c r="AK23"/>
  <c r="AJ23"/>
  <c r="M23"/>
  <c r="N23" s="1"/>
  <c r="AU22"/>
  <c r="AS22"/>
  <c r="AO22"/>
  <c r="AM22"/>
  <c r="AL22"/>
  <c r="AK22"/>
  <c r="AJ22"/>
  <c r="N22"/>
  <c r="M22"/>
  <c r="AU21"/>
  <c r="AS21"/>
  <c r="AO21"/>
  <c r="AK21"/>
  <c r="AJ21"/>
  <c r="M21"/>
  <c r="N21" s="1"/>
  <c r="AU20"/>
  <c r="AS20"/>
  <c r="AK20"/>
  <c r="AO20" s="1"/>
  <c r="AJ20"/>
  <c r="N20"/>
  <c r="M20"/>
  <c r="AU19"/>
  <c r="AS19"/>
  <c r="AO19"/>
  <c r="AK19"/>
  <c r="AJ19"/>
  <c r="M19"/>
  <c r="N19" s="1"/>
  <c r="AU18"/>
  <c r="AS18"/>
  <c r="AK18"/>
  <c r="AO18" s="1"/>
  <c r="AJ18"/>
  <c r="N18"/>
  <c r="M18"/>
  <c r="AU17"/>
  <c r="AS17"/>
  <c r="AL17"/>
  <c r="AL91" s="1"/>
  <c r="AK17"/>
  <c r="AJ17"/>
  <c r="AJ91" s="1"/>
  <c r="M17"/>
  <c r="N17" s="1"/>
  <c r="N91" s="1"/>
  <c r="AQ91" i="43"/>
  <c r="AP91"/>
  <c r="AN91"/>
  <c r="AI91"/>
  <c r="AH91"/>
  <c r="AG91"/>
  <c r="AF91"/>
  <c r="AD91"/>
  <c r="AC91"/>
  <c r="AB91"/>
  <c r="T91"/>
  <c r="R91"/>
  <c r="P91"/>
  <c r="K91"/>
  <c r="AU90"/>
  <c r="AS90"/>
  <c r="AJ90"/>
  <c r="AE90"/>
  <c r="AK90" s="1"/>
  <c r="AO90" s="1"/>
  <c r="N90"/>
  <c r="M90"/>
  <c r="AU89"/>
  <c r="AS89"/>
  <c r="AK89"/>
  <c r="AO89" s="1"/>
  <c r="AJ89"/>
  <c r="N89"/>
  <c r="M89"/>
  <c r="AU88"/>
  <c r="AS88"/>
  <c r="AK88"/>
  <c r="AO88" s="1"/>
  <c r="AJ88"/>
  <c r="N88"/>
  <c r="M88"/>
  <c r="AU87"/>
  <c r="AS87"/>
  <c r="AK87"/>
  <c r="AO87" s="1"/>
  <c r="AJ87"/>
  <c r="N87"/>
  <c r="M87"/>
  <c r="AU86"/>
  <c r="AS86"/>
  <c r="AK86"/>
  <c r="AO86" s="1"/>
  <c r="AJ86"/>
  <c r="N86"/>
  <c r="M86"/>
  <c r="AU85"/>
  <c r="AS85"/>
  <c r="AK85"/>
  <c r="AO85" s="1"/>
  <c r="AJ85"/>
  <c r="N85"/>
  <c r="M85"/>
  <c r="AU84"/>
  <c r="AS84"/>
  <c r="AK84"/>
  <c r="AO84" s="1"/>
  <c r="AJ84"/>
  <c r="N84"/>
  <c r="M84"/>
  <c r="AU83"/>
  <c r="AS83"/>
  <c r="AK83"/>
  <c r="AJ83"/>
  <c r="M83"/>
  <c r="N83" s="1"/>
  <c r="AU82"/>
  <c r="AS82"/>
  <c r="AO82"/>
  <c r="AK82"/>
  <c r="AJ82"/>
  <c r="M82"/>
  <c r="N82" s="1"/>
  <c r="AU81"/>
  <c r="AV91"/>
  <c r="AS81"/>
  <c r="AM81"/>
  <c r="AL81"/>
  <c r="AK81"/>
  <c r="AO81" s="1"/>
  <c r="AJ81"/>
  <c r="N81"/>
  <c r="M81"/>
  <c r="AU80"/>
  <c r="AS80"/>
  <c r="AK80"/>
  <c r="AO80" s="1"/>
  <c r="AJ80"/>
  <c r="N80"/>
  <c r="M80"/>
  <c r="AU79"/>
  <c r="AS79"/>
  <c r="AK79"/>
  <c r="AO79" s="1"/>
  <c r="AJ79"/>
  <c r="N79"/>
  <c r="M79"/>
  <c r="AU78"/>
  <c r="AS78"/>
  <c r="AK78"/>
  <c r="AO78" s="1"/>
  <c r="AJ78"/>
  <c r="N78"/>
  <c r="M78"/>
  <c r="AU77"/>
  <c r="AS77"/>
  <c r="AK77"/>
  <c r="AO77" s="1"/>
  <c r="AJ77"/>
  <c r="N77"/>
  <c r="M77"/>
  <c r="AU76"/>
  <c r="AS76"/>
  <c r="AK76"/>
  <c r="AO76" s="1"/>
  <c r="AJ76"/>
  <c r="N76"/>
  <c r="M76"/>
  <c r="AU75"/>
  <c r="AS75"/>
  <c r="AK75"/>
  <c r="AO75" s="1"/>
  <c r="AJ75"/>
  <c r="N75"/>
  <c r="M75"/>
  <c r="AU74"/>
  <c r="AS74"/>
  <c r="AK74"/>
  <c r="AO74" s="1"/>
  <c r="AJ74"/>
  <c r="N74"/>
  <c r="M74"/>
  <c r="AU73"/>
  <c r="AS73"/>
  <c r="AK73"/>
  <c r="AO73" s="1"/>
  <c r="AJ73"/>
  <c r="N73"/>
  <c r="M73"/>
  <c r="AU72"/>
  <c r="AS72"/>
  <c r="AR72"/>
  <c r="AO72"/>
  <c r="AK72"/>
  <c r="AJ72"/>
  <c r="M72"/>
  <c r="N72" s="1"/>
  <c r="AU71"/>
  <c r="AR71"/>
  <c r="AS71" s="1"/>
  <c r="AK71"/>
  <c r="AO71" s="1"/>
  <c r="AJ71"/>
  <c r="N71"/>
  <c r="M71"/>
  <c r="AU70"/>
  <c r="AS70"/>
  <c r="AL70"/>
  <c r="AK70"/>
  <c r="AO70" s="1"/>
  <c r="AJ70"/>
  <c r="M70"/>
  <c r="N70" s="1"/>
  <c r="AU69"/>
  <c r="AS69"/>
  <c r="AK69"/>
  <c r="AJ69"/>
  <c r="N69"/>
  <c r="M69"/>
  <c r="AU68"/>
  <c r="AS68"/>
  <c r="AK68"/>
  <c r="AO68" s="1"/>
  <c r="AJ68"/>
  <c r="N68"/>
  <c r="M68"/>
  <c r="AU67"/>
  <c r="AS67"/>
  <c r="AK67"/>
  <c r="AO67" s="1"/>
  <c r="AJ67"/>
  <c r="N67"/>
  <c r="M67"/>
  <c r="AU66"/>
  <c r="AS66"/>
  <c r="AK66"/>
  <c r="AO66" s="1"/>
  <c r="AJ66"/>
  <c r="N66"/>
  <c r="M66"/>
  <c r="AU65"/>
  <c r="AS65"/>
  <c r="AK65"/>
  <c r="AO65" s="1"/>
  <c r="AJ65"/>
  <c r="N65"/>
  <c r="M65"/>
  <c r="AU64"/>
  <c r="AS64"/>
  <c r="AK64"/>
  <c r="AO64" s="1"/>
  <c r="AJ64"/>
  <c r="N64"/>
  <c r="M64"/>
  <c r="AU63"/>
  <c r="AS63"/>
  <c r="AK63"/>
  <c r="AO63" s="1"/>
  <c r="AJ63"/>
  <c r="N63"/>
  <c r="M63"/>
  <c r="AU62"/>
  <c r="AS62"/>
  <c r="AK62"/>
  <c r="AO62" s="1"/>
  <c r="AJ62"/>
  <c r="N62"/>
  <c r="M62"/>
  <c r="AU61"/>
  <c r="AS61"/>
  <c r="AK61"/>
  <c r="AO61" s="1"/>
  <c r="AJ61"/>
  <c r="N61"/>
  <c r="M61"/>
  <c r="AU60"/>
  <c r="AS60"/>
  <c r="AK60"/>
  <c r="AO60" s="1"/>
  <c r="AJ60"/>
  <c r="N60"/>
  <c r="M60"/>
  <c r="AU59"/>
  <c r="AS59"/>
  <c r="AK59"/>
  <c r="AO59" s="1"/>
  <c r="AJ59"/>
  <c r="N59"/>
  <c r="M59"/>
  <c r="AU58"/>
  <c r="AS58"/>
  <c r="AK58"/>
  <c r="AO58" s="1"/>
  <c r="AJ58"/>
  <c r="N58"/>
  <c r="M58"/>
  <c r="AU57"/>
  <c r="AS57"/>
  <c r="AK57"/>
  <c r="AO57" s="1"/>
  <c r="AJ57"/>
  <c r="N57"/>
  <c r="M57"/>
  <c r="AU56"/>
  <c r="AS56"/>
  <c r="AK56"/>
  <c r="AO56" s="1"/>
  <c r="AJ56"/>
  <c r="N56"/>
  <c r="M56"/>
  <c r="AU55"/>
  <c r="AS55"/>
  <c r="AK55"/>
  <c r="AO55" s="1"/>
  <c r="AJ55"/>
  <c r="N55"/>
  <c r="M55"/>
  <c r="AU54"/>
  <c r="AS54"/>
  <c r="AK54"/>
  <c r="AO54" s="1"/>
  <c r="AJ54"/>
  <c r="N54"/>
  <c r="M54"/>
  <c r="AU53"/>
  <c r="AS53"/>
  <c r="AM53"/>
  <c r="AL53"/>
  <c r="AK53"/>
  <c r="AO53" s="1"/>
  <c r="AJ53"/>
  <c r="N53"/>
  <c r="M53"/>
  <c r="AU52"/>
  <c r="AS52"/>
  <c r="AK52"/>
  <c r="AO52" s="1"/>
  <c r="AJ52"/>
  <c r="N52"/>
  <c r="M52"/>
  <c r="AU51"/>
  <c r="AS51"/>
  <c r="AK51"/>
  <c r="AJ51"/>
  <c r="M51"/>
  <c r="N51" s="1"/>
  <c r="AU50"/>
  <c r="AS50"/>
  <c r="AO50"/>
  <c r="AK50"/>
  <c r="AJ50"/>
  <c r="M50"/>
  <c r="N50" s="1"/>
  <c r="AU49"/>
  <c r="AS49"/>
  <c r="AO49"/>
  <c r="AK49"/>
  <c r="AJ49"/>
  <c r="M49"/>
  <c r="N49" s="1"/>
  <c r="AU48"/>
  <c r="AS48"/>
  <c r="AO48"/>
  <c r="AK48"/>
  <c r="AJ48"/>
  <c r="M48"/>
  <c r="N48" s="1"/>
  <c r="AU47"/>
  <c r="AS47"/>
  <c r="AO47"/>
  <c r="AK47"/>
  <c r="AJ47"/>
  <c r="M47"/>
  <c r="N47" s="1"/>
  <c r="AU46"/>
  <c r="AS46"/>
  <c r="AO46"/>
  <c r="AK46"/>
  <c r="AJ46"/>
  <c r="M46"/>
  <c r="N46" s="1"/>
  <c r="AU45"/>
  <c r="AS45"/>
  <c r="AO45"/>
  <c r="AK45"/>
  <c r="AJ45"/>
  <c r="M45"/>
  <c r="N45" s="1"/>
  <c r="AU44"/>
  <c r="AS44"/>
  <c r="AO44"/>
  <c r="AK44"/>
  <c r="AJ44"/>
  <c r="M44"/>
  <c r="N44" s="1"/>
  <c r="AU43"/>
  <c r="AS43"/>
  <c r="AO43"/>
  <c r="AK43"/>
  <c r="AJ43"/>
  <c r="M43"/>
  <c r="N43" s="1"/>
  <c r="AU42"/>
  <c r="AS42"/>
  <c r="AM42"/>
  <c r="AK42"/>
  <c r="AO42" s="1"/>
  <c r="AJ42"/>
  <c r="N42"/>
  <c r="M42"/>
  <c r="AU41"/>
  <c r="AS41"/>
  <c r="AK41"/>
  <c r="AO41" s="1"/>
  <c r="AJ41"/>
  <c r="N41"/>
  <c r="M41"/>
  <c r="AU40"/>
  <c r="AS40"/>
  <c r="AK40"/>
  <c r="AO40" s="1"/>
  <c r="AJ40"/>
  <c r="N40"/>
  <c r="M40"/>
  <c r="AU39"/>
  <c r="AS39"/>
  <c r="AM39"/>
  <c r="AL39"/>
  <c r="AK39"/>
  <c r="AO39" s="1"/>
  <c r="AJ39"/>
  <c r="N39"/>
  <c r="M39"/>
  <c r="AU38"/>
  <c r="AS38"/>
  <c r="AK38"/>
  <c r="AO38" s="1"/>
  <c r="AJ38"/>
  <c r="N38"/>
  <c r="M38"/>
  <c r="AU37"/>
  <c r="AS37"/>
  <c r="AM37"/>
  <c r="AL37"/>
  <c r="AK37"/>
  <c r="AO37" s="1"/>
  <c r="AJ37"/>
  <c r="N37"/>
  <c r="M37"/>
  <c r="AU36"/>
  <c r="AS36"/>
  <c r="AK36"/>
  <c r="AO36" s="1"/>
  <c r="AJ36"/>
  <c r="N36"/>
  <c r="M36"/>
  <c r="AU35"/>
  <c r="AS35"/>
  <c r="AM35"/>
  <c r="AL35"/>
  <c r="AK35"/>
  <c r="AO35" s="1"/>
  <c r="AJ35"/>
  <c r="N35"/>
  <c r="M35"/>
  <c r="AU34"/>
  <c r="AS34"/>
  <c r="AK34"/>
  <c r="AO34" s="1"/>
  <c r="AJ34"/>
  <c r="N34"/>
  <c r="M34"/>
  <c r="AU33"/>
  <c r="AS33"/>
  <c r="AM33"/>
  <c r="AK33"/>
  <c r="AO33" s="1"/>
  <c r="AJ33"/>
  <c r="M33"/>
  <c r="N33" s="1"/>
  <c r="AU32"/>
  <c r="AM32"/>
  <c r="AR32" s="1"/>
  <c r="AS32" s="1"/>
  <c r="AL32"/>
  <c r="AK32"/>
  <c r="AO32" s="1"/>
  <c r="AJ32"/>
  <c r="N32"/>
  <c r="M32"/>
  <c r="AL31"/>
  <c r="AR31" s="1"/>
  <c r="AK31"/>
  <c r="AO31" s="1"/>
  <c r="AJ31"/>
  <c r="N31"/>
  <c r="M31"/>
  <c r="AO30"/>
  <c r="AM30"/>
  <c r="AR30" s="1"/>
  <c r="AL30"/>
  <c r="AK30"/>
  <c r="AJ30"/>
  <c r="M30"/>
  <c r="N30" s="1"/>
  <c r="AU29"/>
  <c r="AS29"/>
  <c r="AO29"/>
  <c r="AM29"/>
  <c r="AK29"/>
  <c r="AJ29"/>
  <c r="N29"/>
  <c r="M29"/>
  <c r="AU28"/>
  <c r="AS28"/>
  <c r="AO28"/>
  <c r="AK28"/>
  <c r="AJ28"/>
  <c r="N28"/>
  <c r="M28"/>
  <c r="AU27"/>
  <c r="AS27"/>
  <c r="AK27"/>
  <c r="AO27" s="1"/>
  <c r="AJ27"/>
  <c r="N27"/>
  <c r="M27"/>
  <c r="AU26"/>
  <c r="AS26"/>
  <c r="AO26"/>
  <c r="AM26"/>
  <c r="AL26"/>
  <c r="AK26"/>
  <c r="AJ26"/>
  <c r="AU25"/>
  <c r="AS25"/>
  <c r="AK25"/>
  <c r="AO25" s="1"/>
  <c r="AJ25"/>
  <c r="N25"/>
  <c r="M25"/>
  <c r="AU24"/>
  <c r="AS24"/>
  <c r="AO24"/>
  <c r="AM24"/>
  <c r="AL24"/>
  <c r="AK24"/>
  <c r="AJ24"/>
  <c r="AU23"/>
  <c r="AS23"/>
  <c r="AK23"/>
  <c r="AO23" s="1"/>
  <c r="AJ23"/>
  <c r="N23"/>
  <c r="M23"/>
  <c r="AU22"/>
  <c r="AS22"/>
  <c r="AO22"/>
  <c r="AM22"/>
  <c r="AM91" s="1"/>
  <c r="AL22"/>
  <c r="AK22"/>
  <c r="AJ22"/>
  <c r="N22"/>
  <c r="M22"/>
  <c r="AU21"/>
  <c r="AS21"/>
  <c r="AK21"/>
  <c r="AO21" s="1"/>
  <c r="AJ21"/>
  <c r="N21"/>
  <c r="M21"/>
  <c r="AU20"/>
  <c r="AS20"/>
  <c r="AK20"/>
  <c r="AO20" s="1"/>
  <c r="AJ20"/>
  <c r="N20"/>
  <c r="M20"/>
  <c r="AU19"/>
  <c r="AS19"/>
  <c r="AK19"/>
  <c r="AO19" s="1"/>
  <c r="AJ19"/>
  <c r="N19"/>
  <c r="M19"/>
  <c r="AU18"/>
  <c r="AS18"/>
  <c r="AK18"/>
  <c r="AO18" s="1"/>
  <c r="AJ18"/>
  <c r="N18"/>
  <c r="M18"/>
  <c r="AU17"/>
  <c r="AT91"/>
  <c r="AS17"/>
  <c r="AL17"/>
  <c r="AL91" s="1"/>
  <c r="AK17"/>
  <c r="AK91" s="1"/>
  <c r="AJ17"/>
  <c r="AJ91" s="1"/>
  <c r="N17"/>
  <c r="N91" s="1"/>
  <c r="M17"/>
  <c r="AQ91" i="42"/>
  <c r="AP91"/>
  <c r="AI91"/>
  <c r="AH91"/>
  <c r="AG91"/>
  <c r="AF91"/>
  <c r="AD91"/>
  <c r="AC91"/>
  <c r="AB91"/>
  <c r="T91"/>
  <c r="R91"/>
  <c r="P91"/>
  <c r="K91"/>
  <c r="AS90"/>
  <c r="AJ90"/>
  <c r="AT90" s="1"/>
  <c r="AU90" s="1"/>
  <c r="AE90"/>
  <c r="AE91" s="1"/>
  <c r="M90"/>
  <c r="N90" s="1"/>
  <c r="AS89"/>
  <c r="AK89"/>
  <c r="AO89" s="1"/>
  <c r="AJ89"/>
  <c r="AT89" s="1"/>
  <c r="AU89" s="1"/>
  <c r="N89"/>
  <c r="M89"/>
  <c r="AS88"/>
  <c r="AK88"/>
  <c r="AO88" s="1"/>
  <c r="AJ88"/>
  <c r="AT88" s="1"/>
  <c r="AU88" s="1"/>
  <c r="M88"/>
  <c r="N88" s="1"/>
  <c r="AS87"/>
  <c r="AK87"/>
  <c r="AO87" s="1"/>
  <c r="AJ87"/>
  <c r="AT87" s="1"/>
  <c r="AU87" s="1"/>
  <c r="N87"/>
  <c r="M87"/>
  <c r="AS86"/>
  <c r="AK86"/>
  <c r="AO86" s="1"/>
  <c r="AJ86"/>
  <c r="AT86" s="1"/>
  <c r="AU86" s="1"/>
  <c r="M86"/>
  <c r="N86" s="1"/>
  <c r="AS85"/>
  <c r="AK85"/>
  <c r="AO85" s="1"/>
  <c r="AJ85"/>
  <c r="AT85" s="1"/>
  <c r="AU85" s="1"/>
  <c r="N85"/>
  <c r="M85"/>
  <c r="AS84"/>
  <c r="AK84"/>
  <c r="AO84" s="1"/>
  <c r="AJ84"/>
  <c r="AT84" s="1"/>
  <c r="AU84" s="1"/>
  <c r="M84"/>
  <c r="N84" s="1"/>
  <c r="AT83"/>
  <c r="AU83" s="1"/>
  <c r="AS83"/>
  <c r="AK83"/>
  <c r="AJ83"/>
  <c r="N83"/>
  <c r="M83"/>
  <c r="AS82"/>
  <c r="AK82"/>
  <c r="AO82" s="1"/>
  <c r="AJ82"/>
  <c r="AT82" s="1"/>
  <c r="AU82" s="1"/>
  <c r="M82"/>
  <c r="N82" s="1"/>
  <c r="AT81"/>
  <c r="AV81" s="1"/>
  <c r="AV91" s="1"/>
  <c r="AS81"/>
  <c r="AM81"/>
  <c r="AL81"/>
  <c r="AK81"/>
  <c r="AO81" s="1"/>
  <c r="AJ81"/>
  <c r="N81"/>
  <c r="M81"/>
  <c r="AS80"/>
  <c r="AK80"/>
  <c r="AO80" s="1"/>
  <c r="AJ80"/>
  <c r="AT80" s="1"/>
  <c r="AU80" s="1"/>
  <c r="M80"/>
  <c r="N80" s="1"/>
  <c r="AS79"/>
  <c r="AK79"/>
  <c r="AO79" s="1"/>
  <c r="AJ79"/>
  <c r="AT79" s="1"/>
  <c r="AU79" s="1"/>
  <c r="N79"/>
  <c r="M79"/>
  <c r="AS78"/>
  <c r="AK78"/>
  <c r="AO78" s="1"/>
  <c r="AJ78"/>
  <c r="AT78" s="1"/>
  <c r="AU78" s="1"/>
  <c r="M78"/>
  <c r="N78" s="1"/>
  <c r="AS77"/>
  <c r="AK77"/>
  <c r="AO77" s="1"/>
  <c r="AJ77"/>
  <c r="AT77" s="1"/>
  <c r="AU77" s="1"/>
  <c r="N77"/>
  <c r="M77"/>
  <c r="AS76"/>
  <c r="AK76"/>
  <c r="AO76" s="1"/>
  <c r="AJ76"/>
  <c r="AT76" s="1"/>
  <c r="AU76" s="1"/>
  <c r="M76"/>
  <c r="N76" s="1"/>
  <c r="AS75"/>
  <c r="AK75"/>
  <c r="AO75" s="1"/>
  <c r="AJ75"/>
  <c r="AT75" s="1"/>
  <c r="AU75" s="1"/>
  <c r="N75"/>
  <c r="M75"/>
  <c r="AS74"/>
  <c r="AK74"/>
  <c r="AO74" s="1"/>
  <c r="AJ74"/>
  <c r="AT74" s="1"/>
  <c r="AU74" s="1"/>
  <c r="M74"/>
  <c r="N74" s="1"/>
  <c r="AS73"/>
  <c r="AK73"/>
  <c r="AO73" s="1"/>
  <c r="AJ73"/>
  <c r="AT73" s="1"/>
  <c r="AU73" s="1"/>
  <c r="N73"/>
  <c r="M73"/>
  <c r="AS72"/>
  <c r="AR72"/>
  <c r="AK72"/>
  <c r="AO72" s="1"/>
  <c r="AJ72"/>
  <c r="AT72" s="1"/>
  <c r="AU72" s="1"/>
  <c r="N72"/>
  <c r="M72"/>
  <c r="AS71"/>
  <c r="AR71"/>
  <c r="AK71"/>
  <c r="AO71" s="1"/>
  <c r="AJ71"/>
  <c r="AT71" s="1"/>
  <c r="AU71" s="1"/>
  <c r="N71"/>
  <c r="M71"/>
  <c r="AS70"/>
  <c r="AT70"/>
  <c r="AU70" s="1"/>
  <c r="AL70"/>
  <c r="AK70"/>
  <c r="AO70" s="1"/>
  <c r="AJ70"/>
  <c r="N70"/>
  <c r="M70"/>
  <c r="AT69"/>
  <c r="AU69" s="1"/>
  <c r="AS69"/>
  <c r="AK69"/>
  <c r="AJ69"/>
  <c r="M69"/>
  <c r="N69" s="1"/>
  <c r="AS68"/>
  <c r="AK68"/>
  <c r="AO68" s="1"/>
  <c r="AJ68"/>
  <c r="AT68" s="1"/>
  <c r="AU68" s="1"/>
  <c r="N68"/>
  <c r="M68"/>
  <c r="AS67"/>
  <c r="AK67"/>
  <c r="AO67" s="1"/>
  <c r="AJ67"/>
  <c r="AT67" s="1"/>
  <c r="AU67" s="1"/>
  <c r="M67"/>
  <c r="N67" s="1"/>
  <c r="AS66"/>
  <c r="AK66"/>
  <c r="AO66" s="1"/>
  <c r="AJ66"/>
  <c r="AT66" s="1"/>
  <c r="AU66" s="1"/>
  <c r="N66"/>
  <c r="M66"/>
  <c r="AS65"/>
  <c r="AK65"/>
  <c r="AO65" s="1"/>
  <c r="AJ65"/>
  <c r="AT65" s="1"/>
  <c r="AU65" s="1"/>
  <c r="M65"/>
  <c r="N65" s="1"/>
  <c r="AS64"/>
  <c r="AK64"/>
  <c r="AO64" s="1"/>
  <c r="AJ64"/>
  <c r="AT64" s="1"/>
  <c r="AU64" s="1"/>
  <c r="N64"/>
  <c r="M64"/>
  <c r="AS63"/>
  <c r="AK63"/>
  <c r="AO63" s="1"/>
  <c r="AJ63"/>
  <c r="AT63" s="1"/>
  <c r="AU63" s="1"/>
  <c r="M63"/>
  <c r="N63" s="1"/>
  <c r="AS62"/>
  <c r="AK62"/>
  <c r="AO62" s="1"/>
  <c r="AJ62"/>
  <c r="AT62" s="1"/>
  <c r="AU62" s="1"/>
  <c r="N62"/>
  <c r="M62"/>
  <c r="AS61"/>
  <c r="AK61"/>
  <c r="AO61" s="1"/>
  <c r="AJ61"/>
  <c r="AT61" s="1"/>
  <c r="AU61" s="1"/>
  <c r="M61"/>
  <c r="N61" s="1"/>
  <c r="AS60"/>
  <c r="AK60"/>
  <c r="AO60" s="1"/>
  <c r="AJ60"/>
  <c r="AT60" s="1"/>
  <c r="AU60" s="1"/>
  <c r="N60"/>
  <c r="M60"/>
  <c r="AS59"/>
  <c r="AK59"/>
  <c r="AO59" s="1"/>
  <c r="AJ59"/>
  <c r="AT59" s="1"/>
  <c r="AU59" s="1"/>
  <c r="M59"/>
  <c r="N59" s="1"/>
  <c r="AS58"/>
  <c r="AK58"/>
  <c r="AO58" s="1"/>
  <c r="AJ58"/>
  <c r="AT58" s="1"/>
  <c r="AU58" s="1"/>
  <c r="N58"/>
  <c r="M58"/>
  <c r="AS57"/>
  <c r="AK57"/>
  <c r="AO57" s="1"/>
  <c r="AJ57"/>
  <c r="AT57" s="1"/>
  <c r="AU57" s="1"/>
  <c r="M57"/>
  <c r="N57" s="1"/>
  <c r="AS56"/>
  <c r="AK56"/>
  <c r="AO56" s="1"/>
  <c r="AJ56"/>
  <c r="AT56" s="1"/>
  <c r="AU56" s="1"/>
  <c r="N56"/>
  <c r="M56"/>
  <c r="AS55"/>
  <c r="AK55"/>
  <c r="AO55" s="1"/>
  <c r="AJ55"/>
  <c r="AT55" s="1"/>
  <c r="AU55" s="1"/>
  <c r="M55"/>
  <c r="N55" s="1"/>
  <c r="AS54"/>
  <c r="AK54"/>
  <c r="AO54" s="1"/>
  <c r="AJ54"/>
  <c r="AT54" s="1"/>
  <c r="AU54" s="1"/>
  <c r="N54"/>
  <c r="M54"/>
  <c r="AT53"/>
  <c r="AU53" s="1"/>
  <c r="AS53"/>
  <c r="AM53"/>
  <c r="AL53"/>
  <c r="AK53"/>
  <c r="AO53" s="1"/>
  <c r="AJ53"/>
  <c r="N53"/>
  <c r="M53"/>
  <c r="AS52"/>
  <c r="AK52"/>
  <c r="AO52" s="1"/>
  <c r="AJ52"/>
  <c r="AT52" s="1"/>
  <c r="AU52" s="1"/>
  <c r="M52"/>
  <c r="N52" s="1"/>
  <c r="AT51"/>
  <c r="AU51" s="1"/>
  <c r="AS51"/>
  <c r="AK51"/>
  <c r="AJ51"/>
  <c r="N51"/>
  <c r="M51"/>
  <c r="AS50"/>
  <c r="AK50"/>
  <c r="AO50" s="1"/>
  <c r="AJ50"/>
  <c r="AT50" s="1"/>
  <c r="AU50" s="1"/>
  <c r="M50"/>
  <c r="N50" s="1"/>
  <c r="AS49"/>
  <c r="AK49"/>
  <c r="AO49" s="1"/>
  <c r="AJ49"/>
  <c r="AT49" s="1"/>
  <c r="AU49" s="1"/>
  <c r="N49"/>
  <c r="M49"/>
  <c r="AS48"/>
  <c r="AK48"/>
  <c r="AO48" s="1"/>
  <c r="AJ48"/>
  <c r="AT48" s="1"/>
  <c r="AU48" s="1"/>
  <c r="M48"/>
  <c r="N48" s="1"/>
  <c r="AS47"/>
  <c r="AK47"/>
  <c r="AO47" s="1"/>
  <c r="AJ47"/>
  <c r="AT47" s="1"/>
  <c r="AU47" s="1"/>
  <c r="N47"/>
  <c r="M47"/>
  <c r="AS46"/>
  <c r="AK46"/>
  <c r="AO46" s="1"/>
  <c r="AJ46"/>
  <c r="AT46" s="1"/>
  <c r="AU46" s="1"/>
  <c r="M46"/>
  <c r="N46" s="1"/>
  <c r="AS45"/>
  <c r="AK45"/>
  <c r="AO45" s="1"/>
  <c r="AJ45"/>
  <c r="AT45" s="1"/>
  <c r="AU45" s="1"/>
  <c r="N45"/>
  <c r="M45"/>
  <c r="AS44"/>
  <c r="AK44"/>
  <c r="AO44" s="1"/>
  <c r="AJ44"/>
  <c r="AT44" s="1"/>
  <c r="AU44" s="1"/>
  <c r="M44"/>
  <c r="N44" s="1"/>
  <c r="AS43"/>
  <c r="AK43"/>
  <c r="AO43" s="1"/>
  <c r="AJ43"/>
  <c r="AT43" s="1"/>
  <c r="AU43" s="1"/>
  <c r="N43"/>
  <c r="M43"/>
  <c r="AT42"/>
  <c r="AU42" s="1"/>
  <c r="AS42"/>
  <c r="AM42"/>
  <c r="AK42"/>
  <c r="AO42" s="1"/>
  <c r="AJ42"/>
  <c r="M42"/>
  <c r="N42" s="1"/>
  <c r="AS41"/>
  <c r="AK41"/>
  <c r="AO41" s="1"/>
  <c r="AJ41"/>
  <c r="AT41" s="1"/>
  <c r="AU41" s="1"/>
  <c r="N41"/>
  <c r="M41"/>
  <c r="AS40"/>
  <c r="AK40"/>
  <c r="AO40" s="1"/>
  <c r="AJ40"/>
  <c r="AT40" s="1"/>
  <c r="AU40" s="1"/>
  <c r="M40"/>
  <c r="N40" s="1"/>
  <c r="AT39"/>
  <c r="AU39" s="1"/>
  <c r="AS39"/>
  <c r="AO39"/>
  <c r="AM39"/>
  <c r="AL39"/>
  <c r="AK39"/>
  <c r="AJ39"/>
  <c r="M39"/>
  <c r="N39" s="1"/>
  <c r="AS38"/>
  <c r="AK38"/>
  <c r="AO38" s="1"/>
  <c r="AJ38"/>
  <c r="AT38" s="1"/>
  <c r="AU38" s="1"/>
  <c r="N38"/>
  <c r="M38"/>
  <c r="AS37"/>
  <c r="AM37"/>
  <c r="AL37"/>
  <c r="AK37"/>
  <c r="AO37" s="1"/>
  <c r="AJ37"/>
  <c r="AT37" s="1"/>
  <c r="AU37" s="1"/>
  <c r="M37"/>
  <c r="N37" s="1"/>
  <c r="AS36"/>
  <c r="AK36"/>
  <c r="AO36" s="1"/>
  <c r="AJ36"/>
  <c r="AT36" s="1"/>
  <c r="AU36" s="1"/>
  <c r="N36"/>
  <c r="M36"/>
  <c r="AT35"/>
  <c r="AU35" s="1"/>
  <c r="AS35"/>
  <c r="AM35"/>
  <c r="AL35"/>
  <c r="AK35"/>
  <c r="AO35" s="1"/>
  <c r="AJ35"/>
  <c r="N35"/>
  <c r="M35"/>
  <c r="AS34"/>
  <c r="AK34"/>
  <c r="AO34" s="1"/>
  <c r="AJ34"/>
  <c r="AT34" s="1"/>
  <c r="AU34" s="1"/>
  <c r="M34"/>
  <c r="N34" s="1"/>
  <c r="AS33"/>
  <c r="AM33"/>
  <c r="AO33" s="1"/>
  <c r="AK33"/>
  <c r="AJ33"/>
  <c r="AT33" s="1"/>
  <c r="AU33" s="1"/>
  <c r="M33"/>
  <c r="N33" s="1"/>
  <c r="AM32"/>
  <c r="AL32"/>
  <c r="AR32" s="1"/>
  <c r="AS32" s="1"/>
  <c r="AK32"/>
  <c r="AO32" s="1"/>
  <c r="AJ32"/>
  <c r="AT32" s="1"/>
  <c r="AU32" s="1"/>
  <c r="M32"/>
  <c r="N32" s="1"/>
  <c r="AR31"/>
  <c r="AS31" s="1"/>
  <c r="AT31"/>
  <c r="AU31" s="1"/>
  <c r="AL31"/>
  <c r="AK31"/>
  <c r="AO31" s="1"/>
  <c r="AJ31"/>
  <c r="N31"/>
  <c r="M31"/>
  <c r="AM30"/>
  <c r="AR30" s="1"/>
  <c r="AS30" s="1"/>
  <c r="AL30"/>
  <c r="AK30"/>
  <c r="AO30" s="1"/>
  <c r="AJ30"/>
  <c r="AT30" s="1"/>
  <c r="AU30" s="1"/>
  <c r="N30"/>
  <c r="M30"/>
  <c r="AT29"/>
  <c r="AU29" s="1"/>
  <c r="AS29"/>
  <c r="AO29"/>
  <c r="AM29"/>
  <c r="AK29"/>
  <c r="AJ29"/>
  <c r="M29"/>
  <c r="N29" s="1"/>
  <c r="AT28"/>
  <c r="AU28" s="1"/>
  <c r="AS28"/>
  <c r="AO28"/>
  <c r="AK28"/>
  <c r="AJ28"/>
  <c r="M28"/>
  <c r="N28" s="1"/>
  <c r="AS27"/>
  <c r="AK27"/>
  <c r="AO27" s="1"/>
  <c r="AJ27"/>
  <c r="AT27" s="1"/>
  <c r="AU27" s="1"/>
  <c r="N27"/>
  <c r="M27"/>
  <c r="AT26"/>
  <c r="AU26" s="1"/>
  <c r="AS26"/>
  <c r="AO26"/>
  <c r="AM26"/>
  <c r="AL26"/>
  <c r="AK26"/>
  <c r="AJ26"/>
  <c r="AS25"/>
  <c r="AK25"/>
  <c r="AO25" s="1"/>
  <c r="AJ25"/>
  <c r="AT25" s="1"/>
  <c r="AU25" s="1"/>
  <c r="M25"/>
  <c r="N25" s="1"/>
  <c r="AT24"/>
  <c r="AU24" s="1"/>
  <c r="AS24"/>
  <c r="AO24"/>
  <c r="AL24"/>
  <c r="AM24" s="1"/>
  <c r="AK24"/>
  <c r="AJ24"/>
  <c r="AS23"/>
  <c r="AK23"/>
  <c r="AO23" s="1"/>
  <c r="AJ23"/>
  <c r="AT23" s="1"/>
  <c r="AU23" s="1"/>
  <c r="N23"/>
  <c r="M23"/>
  <c r="AU22"/>
  <c r="AT22"/>
  <c r="AS22"/>
  <c r="AO22"/>
  <c r="AM22"/>
  <c r="AM91" s="1"/>
  <c r="AL22"/>
  <c r="AK22"/>
  <c r="AJ22"/>
  <c r="N22"/>
  <c r="M22"/>
  <c r="AS21"/>
  <c r="AK21"/>
  <c r="AO21" s="1"/>
  <c r="AJ21"/>
  <c r="AT21" s="1"/>
  <c r="AU21" s="1"/>
  <c r="M21"/>
  <c r="N21" s="1"/>
  <c r="AS20"/>
  <c r="AK20"/>
  <c r="AO20" s="1"/>
  <c r="AJ20"/>
  <c r="AT20" s="1"/>
  <c r="AU20" s="1"/>
  <c r="N20"/>
  <c r="M20"/>
  <c r="AS19"/>
  <c r="AK19"/>
  <c r="AO19" s="1"/>
  <c r="AJ19"/>
  <c r="AT19" s="1"/>
  <c r="AU19" s="1"/>
  <c r="M19"/>
  <c r="N19" s="1"/>
  <c r="AS18"/>
  <c r="AK18"/>
  <c r="AO18" s="1"/>
  <c r="AJ18"/>
  <c r="N18"/>
  <c r="M18"/>
  <c r="AU17"/>
  <c r="AT17"/>
  <c r="AS17"/>
  <c r="AL17"/>
  <c r="AL91" s="1"/>
  <c r="AK17"/>
  <c r="AJ17"/>
  <c r="AJ91" s="1"/>
  <c r="N17"/>
  <c r="M17"/>
  <c r="AP91" i="41"/>
  <c r="AL81"/>
  <c r="AM81" s="1"/>
  <c r="AL39"/>
  <c r="AL35"/>
  <c r="AR72"/>
  <c r="AR71"/>
  <c r="AL53"/>
  <c r="AM53" s="1"/>
  <c r="AM42"/>
  <c r="AO29"/>
  <c r="AM29"/>
  <c r="AO28"/>
  <c r="AO26"/>
  <c r="AL26"/>
  <c r="AM26" s="1"/>
  <c r="AO24"/>
  <c r="AT24"/>
  <c r="AL24"/>
  <c r="AM24" s="1"/>
  <c r="AU89" i="62" l="1"/>
  <c r="AV89"/>
  <c r="AO84" i="61"/>
  <c r="AU84"/>
  <c r="AS84"/>
  <c r="AK84"/>
  <c r="AK86" i="60"/>
  <c r="AK86" i="59"/>
  <c r="AS86" i="58"/>
  <c r="AO86"/>
  <c r="AV24"/>
  <c r="AV35"/>
  <c r="AV39"/>
  <c r="AU57"/>
  <c r="AU86" s="1"/>
  <c r="AU58"/>
  <c r="AV70"/>
  <c r="AV81"/>
  <c r="AE86"/>
  <c r="AT86"/>
  <c r="AO38" i="57"/>
  <c r="AU39"/>
  <c r="AL86"/>
  <c r="AS57"/>
  <c r="AU74"/>
  <c r="AU24"/>
  <c r="AU25"/>
  <c r="AU35"/>
  <c r="AV66"/>
  <c r="AS58"/>
  <c r="AO74"/>
  <c r="AK86"/>
  <c r="N86"/>
  <c r="AM86"/>
  <c r="AV27"/>
  <c r="AV61"/>
  <c r="AV62"/>
  <c r="AV63"/>
  <c r="AV70"/>
  <c r="AV81"/>
  <c r="AE86"/>
  <c r="AT86"/>
  <c r="AO87" i="56"/>
  <c r="AO99" s="1"/>
  <c r="AS76"/>
  <c r="AK99"/>
  <c r="N99"/>
  <c r="AM99"/>
  <c r="AS31"/>
  <c r="AU31"/>
  <c r="AU32"/>
  <c r="AS32"/>
  <c r="AS99" s="1"/>
  <c r="AS30"/>
  <c r="AU30"/>
  <c r="AU99" s="1"/>
  <c r="AV25"/>
  <c r="AV33"/>
  <c r="AV40"/>
  <c r="AV48"/>
  <c r="AV50"/>
  <c r="AV52"/>
  <c r="AV53"/>
  <c r="AV58"/>
  <c r="AU75"/>
  <c r="AV80"/>
  <c r="AV85"/>
  <c r="AV87"/>
  <c r="AV93"/>
  <c r="AE99"/>
  <c r="AT99"/>
  <c r="AS31" i="55"/>
  <c r="AU31"/>
  <c r="AU32"/>
  <c r="AS32"/>
  <c r="AS30"/>
  <c r="AU30"/>
  <c r="AU98" s="1"/>
  <c r="AS98"/>
  <c r="AV25"/>
  <c r="AV98" s="1"/>
  <c r="AV33"/>
  <c r="AV39"/>
  <c r="AV47"/>
  <c r="AV49"/>
  <c r="AV51"/>
  <c r="AV52"/>
  <c r="AV57"/>
  <c r="AU74"/>
  <c r="AV79"/>
  <c r="AV84"/>
  <c r="AV86"/>
  <c r="AV92"/>
  <c r="AE98"/>
  <c r="AT98"/>
  <c r="AS31" i="54"/>
  <c r="AU31"/>
  <c r="AU32"/>
  <c r="AS32"/>
  <c r="AS30"/>
  <c r="AU30"/>
  <c r="AU98" s="1"/>
  <c r="AS98"/>
  <c r="AV25"/>
  <c r="AV98" s="1"/>
  <c r="AV33"/>
  <c r="AV39"/>
  <c r="AV47"/>
  <c r="AV49"/>
  <c r="AV51"/>
  <c r="AV52"/>
  <c r="AV57"/>
  <c r="AU74"/>
  <c r="AV79"/>
  <c r="AV84"/>
  <c r="AV86"/>
  <c r="AV92"/>
  <c r="AE98"/>
  <c r="AT98"/>
  <c r="AU86" i="53"/>
  <c r="AT98"/>
  <c r="AU30"/>
  <c r="AS30"/>
  <c r="N98"/>
  <c r="AO98"/>
  <c r="AU31"/>
  <c r="AS31"/>
  <c r="AS98" s="1"/>
  <c r="AS32"/>
  <c r="AU32"/>
  <c r="AV22"/>
  <c r="AV98" s="1"/>
  <c r="AU25"/>
  <c r="AU33"/>
  <c r="AU39"/>
  <c r="AU47"/>
  <c r="AU49"/>
  <c r="AU51"/>
  <c r="AU52"/>
  <c r="AU57"/>
  <c r="AS75"/>
  <c r="AU78"/>
  <c r="AU80"/>
  <c r="AU83"/>
  <c r="AE98"/>
  <c r="AV52" i="52"/>
  <c r="AV98" s="1"/>
  <c r="AT98"/>
  <c r="AL98"/>
  <c r="AU27"/>
  <c r="AR32"/>
  <c r="AU32" s="1"/>
  <c r="AO33"/>
  <c r="AU39"/>
  <c r="AO43"/>
  <c r="AU49"/>
  <c r="AO55"/>
  <c r="AU56"/>
  <c r="AS75"/>
  <c r="AU78"/>
  <c r="N98"/>
  <c r="AO98"/>
  <c r="AM98"/>
  <c r="AU80"/>
  <c r="AS30"/>
  <c r="AU30"/>
  <c r="AU98" s="1"/>
  <c r="AS31"/>
  <c r="AU31"/>
  <c r="AS32"/>
  <c r="AV25"/>
  <c r="AV33"/>
  <c r="AV42"/>
  <c r="AV46"/>
  <c r="AV48"/>
  <c r="AV50"/>
  <c r="AU74"/>
  <c r="AV79"/>
  <c r="AV83"/>
  <c r="AV86"/>
  <c r="AV92"/>
  <c r="AE98"/>
  <c r="AU31" i="51"/>
  <c r="AS31"/>
  <c r="N95"/>
  <c r="AO95"/>
  <c r="AU30"/>
  <c r="AS30"/>
  <c r="AS95" s="1"/>
  <c r="AS32"/>
  <c r="AU32"/>
  <c r="AU95" s="1"/>
  <c r="AV22"/>
  <c r="AV27"/>
  <c r="AV41"/>
  <c r="AV45"/>
  <c r="AV47"/>
  <c r="AU73"/>
  <c r="AV78"/>
  <c r="AV81"/>
  <c r="AV83"/>
  <c r="AV89"/>
  <c r="AE95"/>
  <c r="AT95"/>
  <c r="AU30" i="50"/>
  <c r="AS30"/>
  <c r="AS32"/>
  <c r="AU32"/>
  <c r="AU31"/>
  <c r="AU95" s="1"/>
  <c r="AS31"/>
  <c r="AS95"/>
  <c r="AV22"/>
  <c r="AV27"/>
  <c r="AV41"/>
  <c r="AV45"/>
  <c r="AV47"/>
  <c r="AU74"/>
  <c r="AV81"/>
  <c r="AV83"/>
  <c r="AV89"/>
  <c r="AE95"/>
  <c r="AT95"/>
  <c r="AU31" i="49"/>
  <c r="AS31"/>
  <c r="AU30"/>
  <c r="AS30"/>
  <c r="AS32"/>
  <c r="AU32"/>
  <c r="AS91"/>
  <c r="AV22"/>
  <c r="AV91" s="1"/>
  <c r="AV27"/>
  <c r="AV41"/>
  <c r="AV45"/>
  <c r="AV47"/>
  <c r="AU72"/>
  <c r="AU91" s="1"/>
  <c r="AV79"/>
  <c r="AV81"/>
  <c r="AV86"/>
  <c r="AT91"/>
  <c r="AU30" i="48"/>
  <c r="AS30"/>
  <c r="AS32"/>
  <c r="AU32"/>
  <c r="AU31"/>
  <c r="AU91" s="1"/>
  <c r="AS31"/>
  <c r="AS91"/>
  <c r="AV22"/>
  <c r="AV91" s="1"/>
  <c r="AV27"/>
  <c r="AV41"/>
  <c r="AV45"/>
  <c r="AV47"/>
  <c r="AU72"/>
  <c r="AV79"/>
  <c r="AV81"/>
  <c r="AV86"/>
  <c r="AE91"/>
  <c r="AT91"/>
  <c r="AU31" i="47"/>
  <c r="AS31"/>
  <c r="N91"/>
  <c r="AO91"/>
  <c r="AM91"/>
  <c r="AU30"/>
  <c r="AS30"/>
  <c r="AS32"/>
  <c r="AS91" s="1"/>
  <c r="AU32"/>
  <c r="AU91"/>
  <c r="AV46"/>
  <c r="AV91" s="1"/>
  <c r="AV54"/>
  <c r="AU71"/>
  <c r="AE91"/>
  <c r="AT91"/>
  <c r="AU31" i="46"/>
  <c r="AS31"/>
  <c r="N91"/>
  <c r="AO91"/>
  <c r="AM91"/>
  <c r="AU30"/>
  <c r="AS30"/>
  <c r="AS91" s="1"/>
  <c r="AS32"/>
  <c r="AU32"/>
  <c r="AU91"/>
  <c r="AV46"/>
  <c r="AV91" s="1"/>
  <c r="AV54"/>
  <c r="AU71"/>
  <c r="AE91"/>
  <c r="AT91"/>
  <c r="AU31" i="45"/>
  <c r="AS31"/>
  <c r="AU30"/>
  <c r="AS30"/>
  <c r="AS91" s="1"/>
  <c r="AS32"/>
  <c r="AU32"/>
  <c r="AU91" s="1"/>
  <c r="AV46"/>
  <c r="AV91" s="1"/>
  <c r="AV54"/>
  <c r="AU71"/>
  <c r="AE91"/>
  <c r="AT91"/>
  <c r="AV81" i="44"/>
  <c r="AU45"/>
  <c r="AV91"/>
  <c r="AT91"/>
  <c r="AU46"/>
  <c r="AU30"/>
  <c r="AS30"/>
  <c r="AS91" s="1"/>
  <c r="AM91"/>
  <c r="AS31"/>
  <c r="AU31"/>
  <c r="AS32"/>
  <c r="AU32"/>
  <c r="AK90"/>
  <c r="AO90" s="1"/>
  <c r="AO91" s="1"/>
  <c r="AU30" i="43"/>
  <c r="AS30"/>
  <c r="AS91" s="1"/>
  <c r="AO91"/>
  <c r="AU31"/>
  <c r="AU91" s="1"/>
  <c r="AS31"/>
  <c r="AE91"/>
  <c r="AU81" i="42"/>
  <c r="AN91"/>
  <c r="AT18"/>
  <c r="AU18" s="1"/>
  <c r="AU91" s="1"/>
  <c r="N91"/>
  <c r="AS91"/>
  <c r="AO91"/>
  <c r="AK90"/>
  <c r="AO90" s="1"/>
  <c r="AO22" i="41"/>
  <c r="AM22"/>
  <c r="AL22"/>
  <c r="AO86" i="57" l="1"/>
  <c r="AU86"/>
  <c r="AS86"/>
  <c r="AV86"/>
  <c r="AV99" i="56"/>
  <c r="AU98" i="53"/>
  <c r="AS98" i="52"/>
  <c r="AV95" i="51"/>
  <c r="AV95" i="50"/>
  <c r="AU91" i="44"/>
  <c r="AK91"/>
  <c r="AK91" i="42"/>
  <c r="AT91"/>
  <c r="AL17" i="41"/>
  <c r="M81"/>
  <c r="M87"/>
  <c r="N87" s="1"/>
  <c r="M88"/>
  <c r="N88" s="1"/>
  <c r="M89"/>
  <c r="N89" s="1"/>
  <c r="M90"/>
  <c r="N90" s="1"/>
  <c r="M85"/>
  <c r="N85" s="1"/>
  <c r="M86"/>
  <c r="N86" s="1"/>
  <c r="M84"/>
  <c r="N84" s="1"/>
  <c r="M18"/>
  <c r="N18" s="1"/>
  <c r="M19"/>
  <c r="N19" s="1"/>
  <c r="M20"/>
  <c r="N20" s="1"/>
  <c r="M21"/>
  <c r="N21" s="1"/>
  <c r="M22"/>
  <c r="N22" s="1"/>
  <c r="M23"/>
  <c r="N23" s="1"/>
  <c r="M25"/>
  <c r="N25" s="1"/>
  <c r="M27"/>
  <c r="N27" s="1"/>
  <c r="M28"/>
  <c r="N28" s="1"/>
  <c r="M29"/>
  <c r="N29" s="1"/>
  <c r="M30"/>
  <c r="N30" s="1"/>
  <c r="M31"/>
  <c r="N31" s="1"/>
  <c r="M32"/>
  <c r="N32" s="1"/>
  <c r="M33"/>
  <c r="N33" s="1"/>
  <c r="M34"/>
  <c r="N34" s="1"/>
  <c r="M35"/>
  <c r="N35" s="1"/>
  <c r="M36"/>
  <c r="N36" s="1"/>
  <c r="M37"/>
  <c r="N37" s="1"/>
  <c r="M38"/>
  <c r="N38" s="1"/>
  <c r="M39"/>
  <c r="N39" s="1"/>
  <c r="M40"/>
  <c r="N40" s="1"/>
  <c r="M41"/>
  <c r="N41" s="1"/>
  <c r="M42"/>
  <c r="N42" s="1"/>
  <c r="M43"/>
  <c r="N43" s="1"/>
  <c r="M44"/>
  <c r="N44" s="1"/>
  <c r="M45"/>
  <c r="N45" s="1"/>
  <c r="M46"/>
  <c r="N46" s="1"/>
  <c r="M47"/>
  <c r="N47" s="1"/>
  <c r="M48"/>
  <c r="N48" s="1"/>
  <c r="M49"/>
  <c r="N49" s="1"/>
  <c r="M50"/>
  <c r="N50" s="1"/>
  <c r="M51"/>
  <c r="N51" s="1"/>
  <c r="M52"/>
  <c r="N52" s="1"/>
  <c r="M53"/>
  <c r="N53" s="1"/>
  <c r="M54"/>
  <c r="N54" s="1"/>
  <c r="M55"/>
  <c r="N55" s="1"/>
  <c r="M56"/>
  <c r="N56" s="1"/>
  <c r="M57"/>
  <c r="N57" s="1"/>
  <c r="M58"/>
  <c r="N58" s="1"/>
  <c r="M59"/>
  <c r="N59" s="1"/>
  <c r="M60"/>
  <c r="N60" s="1"/>
  <c r="M61"/>
  <c r="N61" s="1"/>
  <c r="M62"/>
  <c r="N62" s="1"/>
  <c r="M63"/>
  <c r="N63" s="1"/>
  <c r="M64"/>
  <c r="N64" s="1"/>
  <c r="M65"/>
  <c r="N65" s="1"/>
  <c r="M66"/>
  <c r="N66" s="1"/>
  <c r="M67"/>
  <c r="N67" s="1"/>
  <c r="M68"/>
  <c r="N68" s="1"/>
  <c r="M69"/>
  <c r="N69" s="1"/>
  <c r="M70"/>
  <c r="N70" s="1"/>
  <c r="M71"/>
  <c r="N71" s="1"/>
  <c r="M72"/>
  <c r="N72" s="1"/>
  <c r="M73"/>
  <c r="N73" s="1"/>
  <c r="M74"/>
  <c r="N74" s="1"/>
  <c r="M75"/>
  <c r="N75" s="1"/>
  <c r="M76"/>
  <c r="N76" s="1"/>
  <c r="M77"/>
  <c r="N77" s="1"/>
  <c r="M78"/>
  <c r="N78" s="1"/>
  <c r="M79"/>
  <c r="N79" s="1"/>
  <c r="M80"/>
  <c r="N80" s="1"/>
  <c r="N81"/>
  <c r="M82"/>
  <c r="N82" s="1"/>
  <c r="M83"/>
  <c r="N83" s="1"/>
  <c r="M17"/>
  <c r="N17" s="1"/>
  <c r="P91" l="1"/>
  <c r="R91"/>
  <c r="T91"/>
  <c r="N91"/>
  <c r="K91"/>
  <c r="AS69"/>
  <c r="AT69"/>
  <c r="AU69" s="1"/>
  <c r="AK69"/>
  <c r="AJ69"/>
  <c r="AS51"/>
  <c r="AT51"/>
  <c r="AU51" s="1"/>
  <c r="AK51"/>
  <c r="AJ51"/>
  <c r="AS83"/>
  <c r="AT83"/>
  <c r="AU83" s="1"/>
  <c r="AK83"/>
  <c r="AJ83"/>
  <c r="AS48"/>
  <c r="AS18"/>
  <c r="AS19"/>
  <c r="AS20"/>
  <c r="AS21"/>
  <c r="AS22"/>
  <c r="AS23"/>
  <c r="AS24"/>
  <c r="AS25"/>
  <c r="AS26"/>
  <c r="AS27"/>
  <c r="AS28"/>
  <c r="AS29"/>
  <c r="AS33"/>
  <c r="AS34"/>
  <c r="AS35"/>
  <c r="AS36"/>
  <c r="AS37"/>
  <c r="AS38"/>
  <c r="AS39"/>
  <c r="AS40"/>
  <c r="AS41"/>
  <c r="AS42"/>
  <c r="AS43"/>
  <c r="AS44"/>
  <c r="AS45"/>
  <c r="AS46"/>
  <c r="AS47"/>
  <c r="AS49"/>
  <c r="AS50"/>
  <c r="AS52"/>
  <c r="AS53"/>
  <c r="AS54"/>
  <c r="AS55"/>
  <c r="AS56"/>
  <c r="AS57"/>
  <c r="AS58"/>
  <c r="AS59"/>
  <c r="AS60"/>
  <c r="AS61"/>
  <c r="AS62"/>
  <c r="AS63"/>
  <c r="AS64"/>
  <c r="AS65"/>
  <c r="AS66"/>
  <c r="AS67"/>
  <c r="AS68"/>
  <c r="AS70"/>
  <c r="AS71"/>
  <c r="AS72"/>
  <c r="AS73"/>
  <c r="AS74"/>
  <c r="AS75"/>
  <c r="AS76"/>
  <c r="AS77"/>
  <c r="AS78"/>
  <c r="AS79"/>
  <c r="AS80"/>
  <c r="AS81"/>
  <c r="AS82"/>
  <c r="AS84"/>
  <c r="AS85"/>
  <c r="AS86"/>
  <c r="AS87"/>
  <c r="AS88"/>
  <c r="AS89"/>
  <c r="AS90"/>
  <c r="AS17"/>
  <c r="AQ91"/>
  <c r="AE90"/>
  <c r="AE91" s="1"/>
  <c r="AF91"/>
  <c r="AG91"/>
  <c r="AH91"/>
  <c r="AI91"/>
  <c r="AD91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K36"/>
  <c r="AK37"/>
  <c r="AK38"/>
  <c r="AK39"/>
  <c r="AK40"/>
  <c r="AK41"/>
  <c r="AK42"/>
  <c r="AK43"/>
  <c r="AK44"/>
  <c r="AK45"/>
  <c r="AK46"/>
  <c r="AK47"/>
  <c r="AK48"/>
  <c r="AK49"/>
  <c r="AK50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70"/>
  <c r="AK71"/>
  <c r="AK72"/>
  <c r="AK73"/>
  <c r="AK74"/>
  <c r="AK75"/>
  <c r="AK76"/>
  <c r="AK77"/>
  <c r="AK78"/>
  <c r="AK79"/>
  <c r="AK80"/>
  <c r="AK81"/>
  <c r="AK82"/>
  <c r="AK84"/>
  <c r="AK85"/>
  <c r="AK86"/>
  <c r="AK87"/>
  <c r="AK88"/>
  <c r="AK89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70"/>
  <c r="AJ71"/>
  <c r="AJ72"/>
  <c r="AJ73"/>
  <c r="AJ74"/>
  <c r="AJ75"/>
  <c r="AJ76"/>
  <c r="AJ77"/>
  <c r="AJ78"/>
  <c r="AJ79"/>
  <c r="AJ80"/>
  <c r="AJ81"/>
  <c r="AJ82"/>
  <c r="AJ84"/>
  <c r="AJ85"/>
  <c r="AJ86"/>
  <c r="AJ87"/>
  <c r="AJ88"/>
  <c r="AJ89"/>
  <c r="AJ90"/>
  <c r="AK18"/>
  <c r="AJ18"/>
  <c r="AN18" s="1"/>
  <c r="AT18" s="1"/>
  <c r="AU18" s="1"/>
  <c r="AK17"/>
  <c r="AJ17"/>
  <c r="AK90" l="1"/>
  <c r="AK91" l="1"/>
  <c r="AJ91"/>
  <c r="AC91"/>
  <c r="AB91"/>
  <c r="AO90"/>
  <c r="AN90"/>
  <c r="AT90" s="1"/>
  <c r="AU90" s="1"/>
  <c r="AO89"/>
  <c r="AN89"/>
  <c r="AT89" s="1"/>
  <c r="AU89" s="1"/>
  <c r="AO88"/>
  <c r="AN88"/>
  <c r="AT88" s="1"/>
  <c r="AU88" s="1"/>
  <c r="AO87"/>
  <c r="AN87"/>
  <c r="AT87" s="1"/>
  <c r="AU87" s="1"/>
  <c r="AO86"/>
  <c r="AN86"/>
  <c r="AT86" s="1"/>
  <c r="AU86" s="1"/>
  <c r="AO85"/>
  <c r="AN85"/>
  <c r="AT85" s="1"/>
  <c r="AU85" s="1"/>
  <c r="AO84"/>
  <c r="AN84"/>
  <c r="AT84" s="1"/>
  <c r="AU84" s="1"/>
  <c r="AO82"/>
  <c r="AN82"/>
  <c r="AT82" s="1"/>
  <c r="AU82" s="1"/>
  <c r="AO81"/>
  <c r="AT81"/>
  <c r="AO80"/>
  <c r="AN80"/>
  <c r="AT80" s="1"/>
  <c r="AU80" s="1"/>
  <c r="AO79"/>
  <c r="AN79"/>
  <c r="AT79" s="1"/>
  <c r="AU79" s="1"/>
  <c r="AO78"/>
  <c r="AN78"/>
  <c r="AT78" s="1"/>
  <c r="AU78" s="1"/>
  <c r="AO77"/>
  <c r="AN77"/>
  <c r="AT77" s="1"/>
  <c r="AU77" s="1"/>
  <c r="AO76"/>
  <c r="AN76"/>
  <c r="AT76" s="1"/>
  <c r="AU76" s="1"/>
  <c r="AO75"/>
  <c r="AN75"/>
  <c r="AT75" s="1"/>
  <c r="AU75" s="1"/>
  <c r="AO74"/>
  <c r="AN74"/>
  <c r="AT74" s="1"/>
  <c r="AU74" s="1"/>
  <c r="AO73"/>
  <c r="AN73"/>
  <c r="AT73" s="1"/>
  <c r="AU73" s="1"/>
  <c r="AO72"/>
  <c r="AN72"/>
  <c r="AT72" s="1"/>
  <c r="AU72" s="1"/>
  <c r="AO71"/>
  <c r="AN71"/>
  <c r="AT71" s="1"/>
  <c r="AU71" s="1"/>
  <c r="AO70"/>
  <c r="AL70"/>
  <c r="AN70" s="1"/>
  <c r="AT70" s="1"/>
  <c r="AU70" s="1"/>
  <c r="AO68"/>
  <c r="AN68"/>
  <c r="AT68" s="1"/>
  <c r="AU68" s="1"/>
  <c r="AO67"/>
  <c r="AN67"/>
  <c r="AT67" s="1"/>
  <c r="AU67" s="1"/>
  <c r="AO66"/>
  <c r="AN66"/>
  <c r="AT66" s="1"/>
  <c r="AU66" s="1"/>
  <c r="AO65"/>
  <c r="AN65"/>
  <c r="AT65" s="1"/>
  <c r="AU65" s="1"/>
  <c r="AO64"/>
  <c r="AN64"/>
  <c r="AT64" s="1"/>
  <c r="AU64" s="1"/>
  <c r="AO63"/>
  <c r="AN63"/>
  <c r="AT63" s="1"/>
  <c r="AU63" s="1"/>
  <c r="AO62"/>
  <c r="AN62"/>
  <c r="AT62" s="1"/>
  <c r="AU62" s="1"/>
  <c r="AO61"/>
  <c r="AN61"/>
  <c r="AT61" s="1"/>
  <c r="AU61" s="1"/>
  <c r="AO60"/>
  <c r="AN60"/>
  <c r="AT60" s="1"/>
  <c r="AU60" s="1"/>
  <c r="AO59"/>
  <c r="AN59"/>
  <c r="AT59" s="1"/>
  <c r="AU59" s="1"/>
  <c r="AO58"/>
  <c r="AN58"/>
  <c r="AT58" s="1"/>
  <c r="AU58" s="1"/>
  <c r="AO57"/>
  <c r="AN57"/>
  <c r="AT57" s="1"/>
  <c r="AU57" s="1"/>
  <c r="AO56"/>
  <c r="AN56"/>
  <c r="AT56" s="1"/>
  <c r="AU56" s="1"/>
  <c r="AO55"/>
  <c r="AN55"/>
  <c r="AT55" s="1"/>
  <c r="AU55" s="1"/>
  <c r="AO54"/>
  <c r="AN54"/>
  <c r="AT54" s="1"/>
  <c r="AU54" s="1"/>
  <c r="AO53"/>
  <c r="AT53"/>
  <c r="AO52"/>
  <c r="AN52"/>
  <c r="AT52" s="1"/>
  <c r="AU52" s="1"/>
  <c r="AO50"/>
  <c r="AN50"/>
  <c r="AT50" s="1"/>
  <c r="AU50" s="1"/>
  <c r="AO49"/>
  <c r="AN49"/>
  <c r="AT49" s="1"/>
  <c r="AU49" s="1"/>
  <c r="AO48"/>
  <c r="AN48"/>
  <c r="AT48" s="1"/>
  <c r="AU48" s="1"/>
  <c r="AO47"/>
  <c r="AN47"/>
  <c r="AO46"/>
  <c r="AN46"/>
  <c r="AT46" s="1"/>
  <c r="AU46" s="1"/>
  <c r="AO45"/>
  <c r="AN45"/>
  <c r="AT45" s="1"/>
  <c r="AU45" s="1"/>
  <c r="AO44"/>
  <c r="AN44"/>
  <c r="AT44" s="1"/>
  <c r="AU44" s="1"/>
  <c r="AO43"/>
  <c r="AN43"/>
  <c r="AT43" s="1"/>
  <c r="AU43" s="1"/>
  <c r="AO42"/>
  <c r="AT42"/>
  <c r="AU42" s="1"/>
  <c r="AO41"/>
  <c r="AN41"/>
  <c r="AT41" s="1"/>
  <c r="AU41" s="1"/>
  <c r="AO40"/>
  <c r="AN40"/>
  <c r="AT40" s="1"/>
  <c r="AU40" s="1"/>
  <c r="AM39"/>
  <c r="AO39" s="1"/>
  <c r="AT39"/>
  <c r="AU39" s="1"/>
  <c r="AO38"/>
  <c r="AN38"/>
  <c r="AT38" s="1"/>
  <c r="AU38" s="1"/>
  <c r="AM37"/>
  <c r="AO37" s="1"/>
  <c r="AL37"/>
  <c r="AN37" s="1"/>
  <c r="AT37" s="1"/>
  <c r="AU37" s="1"/>
  <c r="AO36"/>
  <c r="AN36"/>
  <c r="AT36" s="1"/>
  <c r="AU36" s="1"/>
  <c r="AM35"/>
  <c r="AO35" s="1"/>
  <c r="AT35"/>
  <c r="AU35" s="1"/>
  <c r="AO34"/>
  <c r="AN34"/>
  <c r="AT34" s="1"/>
  <c r="AU34" s="1"/>
  <c r="AN33"/>
  <c r="AT33" s="1"/>
  <c r="AU33" s="1"/>
  <c r="AM33"/>
  <c r="AO33" s="1"/>
  <c r="AM32"/>
  <c r="AL32"/>
  <c r="AN32" s="1"/>
  <c r="AT32" s="1"/>
  <c r="AO31"/>
  <c r="AL31"/>
  <c r="AM30"/>
  <c r="AL30"/>
  <c r="AN30" s="1"/>
  <c r="AT30" s="1"/>
  <c r="AT29"/>
  <c r="AU29" s="1"/>
  <c r="AT28"/>
  <c r="AU28" s="1"/>
  <c r="AO27"/>
  <c r="AN27"/>
  <c r="AT27" s="1"/>
  <c r="AU27" s="1"/>
  <c r="AT26"/>
  <c r="AU26" s="1"/>
  <c r="AO25"/>
  <c r="AN25"/>
  <c r="AT25" s="1"/>
  <c r="AU25" s="1"/>
  <c r="AL91"/>
  <c r="AO23"/>
  <c r="AN23"/>
  <c r="AT23" s="1"/>
  <c r="AU23" s="1"/>
  <c r="AT22"/>
  <c r="AU22" s="1"/>
  <c r="AO21"/>
  <c r="AN21"/>
  <c r="AT21" s="1"/>
  <c r="AU21" s="1"/>
  <c r="AO20"/>
  <c r="AN20"/>
  <c r="AT20" s="1"/>
  <c r="AU20" s="1"/>
  <c r="AO19"/>
  <c r="AN19"/>
  <c r="AT19" s="1"/>
  <c r="AU19" s="1"/>
  <c r="AO18"/>
  <c r="AT17"/>
  <c r="AU17" s="1"/>
  <c r="N26" i="40"/>
  <c r="O90"/>
  <c r="O22"/>
  <c r="N41"/>
  <c r="M41"/>
  <c r="N28"/>
  <c r="M28"/>
  <c r="N81"/>
  <c r="M81"/>
  <c r="AO30" i="41" l="1"/>
  <c r="AR30"/>
  <c r="AS30" s="1"/>
  <c r="AO32"/>
  <c r="AR32"/>
  <c r="AS32" s="1"/>
  <c r="AN31"/>
  <c r="AT31" s="1"/>
  <c r="AR31"/>
  <c r="AS31" s="1"/>
  <c r="AU81"/>
  <c r="AV81"/>
  <c r="AV91" s="1"/>
  <c r="AU30"/>
  <c r="AT47"/>
  <c r="AU47" s="1"/>
  <c r="AM91"/>
  <c r="AU53"/>
  <c r="AO91"/>
  <c r="M26" i="40"/>
  <c r="N37"/>
  <c r="M37"/>
  <c r="N54"/>
  <c r="M54"/>
  <c r="L90"/>
  <c r="AU31" i="41" l="1"/>
  <c r="AU32"/>
  <c r="AS91"/>
  <c r="AN91"/>
  <c r="P69" i="40"/>
  <c r="O69"/>
  <c r="P52"/>
  <c r="O52"/>
  <c r="P68"/>
  <c r="O68"/>
  <c r="P74"/>
  <c r="O74"/>
  <c r="P51"/>
  <c r="O51"/>
  <c r="P67"/>
  <c r="O67"/>
  <c r="P66"/>
  <c r="O66"/>
  <c r="Q90"/>
  <c r="K90"/>
  <c r="J90"/>
  <c r="I90"/>
  <c r="P89"/>
  <c r="O89"/>
  <c r="P88"/>
  <c r="O88"/>
  <c r="P87"/>
  <c r="O87"/>
  <c r="P86"/>
  <c r="O86"/>
  <c r="P85"/>
  <c r="O85"/>
  <c r="P84"/>
  <c r="O84"/>
  <c r="P83"/>
  <c r="O83"/>
  <c r="P82"/>
  <c r="O82"/>
  <c r="P81"/>
  <c r="O81"/>
  <c r="P80"/>
  <c r="O80"/>
  <c r="P79"/>
  <c r="O79"/>
  <c r="P78"/>
  <c r="O78"/>
  <c r="P77"/>
  <c r="O77"/>
  <c r="P76"/>
  <c r="O76"/>
  <c r="P75"/>
  <c r="O75"/>
  <c r="P73"/>
  <c r="O73"/>
  <c r="P72"/>
  <c r="O72"/>
  <c r="P71"/>
  <c r="O71"/>
  <c r="P70"/>
  <c r="O70"/>
  <c r="M70"/>
  <c r="P65"/>
  <c r="O65"/>
  <c r="P64"/>
  <c r="O64"/>
  <c r="P63"/>
  <c r="O63"/>
  <c r="P62"/>
  <c r="O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0"/>
  <c r="O50"/>
  <c r="P49"/>
  <c r="O49"/>
  <c r="P48"/>
  <c r="O48"/>
  <c r="P47"/>
  <c r="O47"/>
  <c r="P46"/>
  <c r="O46"/>
  <c r="P45"/>
  <c r="O45"/>
  <c r="P44"/>
  <c r="O44"/>
  <c r="P43"/>
  <c r="O43"/>
  <c r="P42"/>
  <c r="O42"/>
  <c r="Q42" s="1"/>
  <c r="P41"/>
  <c r="O41"/>
  <c r="P40"/>
  <c r="O40"/>
  <c r="N39"/>
  <c r="P39" s="1"/>
  <c r="M39"/>
  <c r="O39" s="1"/>
  <c r="P38"/>
  <c r="O38"/>
  <c r="O37"/>
  <c r="P37"/>
  <c r="P36"/>
  <c r="O36"/>
  <c r="O35"/>
  <c r="N35"/>
  <c r="P35" s="1"/>
  <c r="N34"/>
  <c r="P34" s="1"/>
  <c r="M34"/>
  <c r="M90" s="1"/>
  <c r="P33"/>
  <c r="O33"/>
  <c r="M33"/>
  <c r="N32"/>
  <c r="P32" s="1"/>
  <c r="M32"/>
  <c r="O32" s="1"/>
  <c r="P31"/>
  <c r="O31"/>
  <c r="P30"/>
  <c r="O30"/>
  <c r="P29"/>
  <c r="O29"/>
  <c r="P28"/>
  <c r="O28"/>
  <c r="P27"/>
  <c r="O27"/>
  <c r="N90"/>
  <c r="O26"/>
  <c r="P25"/>
  <c r="O25"/>
  <c r="P24"/>
  <c r="O24"/>
  <c r="P23"/>
  <c r="O23"/>
  <c r="P22"/>
  <c r="P21"/>
  <c r="O21"/>
  <c r="P20"/>
  <c r="O20"/>
  <c r="P19"/>
  <c r="O19"/>
  <c r="P83" i="39"/>
  <c r="O83"/>
  <c r="N41"/>
  <c r="M41"/>
  <c r="N28"/>
  <c r="M28"/>
  <c r="AU24" i="41" l="1"/>
  <c r="AU91" s="1"/>
  <c r="AT91"/>
  <c r="P26" i="40"/>
  <c r="P90" s="1"/>
  <c r="O34"/>
  <c r="N26" i="39"/>
  <c r="N83" s="1"/>
  <c r="M26"/>
  <c r="O26" s="1"/>
  <c r="N37"/>
  <c r="P37" s="1"/>
  <c r="N34"/>
  <c r="P34" s="1"/>
  <c r="N35"/>
  <c r="P35" s="1"/>
  <c r="M34"/>
  <c r="O34" s="1"/>
  <c r="N52"/>
  <c r="P52" s="1"/>
  <c r="M52"/>
  <c r="O52" s="1"/>
  <c r="Q83"/>
  <c r="L83"/>
  <c r="K83"/>
  <c r="J83"/>
  <c r="I83"/>
  <c r="P82"/>
  <c r="O82"/>
  <c r="P81"/>
  <c r="O81"/>
  <c r="P80"/>
  <c r="O80"/>
  <c r="P79"/>
  <c r="O79"/>
  <c r="P78"/>
  <c r="O78"/>
  <c r="P77"/>
  <c r="O77"/>
  <c r="P76"/>
  <c r="O76"/>
  <c r="P75"/>
  <c r="O75"/>
  <c r="P74"/>
  <c r="O74"/>
  <c r="P73"/>
  <c r="O73"/>
  <c r="P72"/>
  <c r="O72"/>
  <c r="P71"/>
  <c r="O71"/>
  <c r="P70"/>
  <c r="O70"/>
  <c r="P69"/>
  <c r="O69"/>
  <c r="P68"/>
  <c r="O68"/>
  <c r="P67"/>
  <c r="O67"/>
  <c r="P66"/>
  <c r="O66"/>
  <c r="P65"/>
  <c r="O65"/>
  <c r="P64"/>
  <c r="M64"/>
  <c r="O64" s="1"/>
  <c r="P63"/>
  <c r="O63"/>
  <c r="P62"/>
  <c r="O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1"/>
  <c r="O51"/>
  <c r="P50"/>
  <c r="O50"/>
  <c r="P49"/>
  <c r="O49"/>
  <c r="P48"/>
  <c r="O48"/>
  <c r="P47"/>
  <c r="O47"/>
  <c r="P46"/>
  <c r="O46"/>
  <c r="P45"/>
  <c r="O45"/>
  <c r="P44"/>
  <c r="O44"/>
  <c r="P43"/>
  <c r="O43"/>
  <c r="P42"/>
  <c r="O42"/>
  <c r="Q42" s="1"/>
  <c r="P41"/>
  <c r="O41"/>
  <c r="P40"/>
  <c r="O40"/>
  <c r="N39"/>
  <c r="P39" s="1"/>
  <c r="M39"/>
  <c r="O39" s="1"/>
  <c r="P38"/>
  <c r="O38"/>
  <c r="O37"/>
  <c r="P36"/>
  <c r="O36"/>
  <c r="O35"/>
  <c r="P33"/>
  <c r="M33"/>
  <c r="O33" s="1"/>
  <c r="N32"/>
  <c r="P32" s="1"/>
  <c r="M32"/>
  <c r="O32" s="1"/>
  <c r="P31"/>
  <c r="O31"/>
  <c r="P30"/>
  <c r="O30"/>
  <c r="P29"/>
  <c r="O29"/>
  <c r="P28"/>
  <c r="O28"/>
  <c r="P27"/>
  <c r="O27"/>
  <c r="P25"/>
  <c r="O25"/>
  <c r="P24"/>
  <c r="O24"/>
  <c r="P23"/>
  <c r="O23"/>
  <c r="P22"/>
  <c r="O22"/>
  <c r="P21"/>
  <c r="O21"/>
  <c r="P20"/>
  <c r="O20"/>
  <c r="P19"/>
  <c r="O19"/>
  <c r="N41" i="38"/>
  <c r="M41"/>
  <c r="N28"/>
  <c r="M28"/>
  <c r="N39"/>
  <c r="M39"/>
  <c r="N26"/>
  <c r="M26"/>
  <c r="N34"/>
  <c r="N83" s="1"/>
  <c r="M34"/>
  <c r="O34" s="1"/>
  <c r="M33"/>
  <c r="N32"/>
  <c r="M32"/>
  <c r="L83"/>
  <c r="K83"/>
  <c r="J83"/>
  <c r="I83"/>
  <c r="P75"/>
  <c r="O75"/>
  <c r="P81"/>
  <c r="O81"/>
  <c r="P79"/>
  <c r="O79"/>
  <c r="P77"/>
  <c r="O77"/>
  <c r="P50"/>
  <c r="O50"/>
  <c r="O29"/>
  <c r="P29"/>
  <c r="O27"/>
  <c r="P27"/>
  <c r="O40"/>
  <c r="P40"/>
  <c r="P67"/>
  <c r="O67"/>
  <c r="P63"/>
  <c r="O63"/>
  <c r="Q83"/>
  <c r="P82"/>
  <c r="O82"/>
  <c r="P80"/>
  <c r="O80"/>
  <c r="P78"/>
  <c r="O78"/>
  <c r="P76"/>
  <c r="O76"/>
  <c r="P74"/>
  <c r="O74"/>
  <c r="P73"/>
  <c r="O73"/>
  <c r="P72"/>
  <c r="O72"/>
  <c r="P71"/>
  <c r="O71"/>
  <c r="P70"/>
  <c r="O70"/>
  <c r="P69"/>
  <c r="O69"/>
  <c r="P68"/>
  <c r="O68"/>
  <c r="P66"/>
  <c r="O66"/>
  <c r="P65"/>
  <c r="O65"/>
  <c r="P64"/>
  <c r="M64"/>
  <c r="O64" s="1"/>
  <c r="P62"/>
  <c r="O62"/>
  <c r="P61"/>
  <c r="O61"/>
  <c r="P60"/>
  <c r="O60"/>
  <c r="P59"/>
  <c r="O59"/>
  <c r="P58"/>
  <c r="O58"/>
  <c r="P57"/>
  <c r="O57"/>
  <c r="P56"/>
  <c r="O56"/>
  <c r="P55"/>
  <c r="O55"/>
  <c r="P54"/>
  <c r="O54"/>
  <c r="P53"/>
  <c r="O53"/>
  <c r="P52"/>
  <c r="O52"/>
  <c r="P51"/>
  <c r="O51"/>
  <c r="P49"/>
  <c r="O49"/>
  <c r="P48"/>
  <c r="O48"/>
  <c r="P47"/>
  <c r="O47"/>
  <c r="P46"/>
  <c r="O46"/>
  <c r="P45"/>
  <c r="O45"/>
  <c r="P44"/>
  <c r="O44"/>
  <c r="P43"/>
  <c r="O43"/>
  <c r="P42"/>
  <c r="O42"/>
  <c r="Q42" s="1"/>
  <c r="P41"/>
  <c r="O41"/>
  <c r="P38"/>
  <c r="O38"/>
  <c r="P37"/>
  <c r="O37"/>
  <c r="P36"/>
  <c r="O36"/>
  <c r="P35"/>
  <c r="O35"/>
  <c r="P33"/>
  <c r="O33"/>
  <c r="P31"/>
  <c r="O31"/>
  <c r="P30"/>
  <c r="O30"/>
  <c r="P28"/>
  <c r="O28"/>
  <c r="P26"/>
  <c r="O26"/>
  <c r="P25"/>
  <c r="O25"/>
  <c r="P24"/>
  <c r="O24"/>
  <c r="P23"/>
  <c r="O23"/>
  <c r="P22"/>
  <c r="O22"/>
  <c r="P21"/>
  <c r="O21"/>
  <c r="P20"/>
  <c r="O20"/>
  <c r="P19"/>
  <c r="O19"/>
  <c r="N38" i="37"/>
  <c r="P38" s="1"/>
  <c r="M38"/>
  <c r="O38" s="1"/>
  <c r="N37"/>
  <c r="P37" s="1"/>
  <c r="M37"/>
  <c r="O37" s="1"/>
  <c r="N73"/>
  <c r="M59"/>
  <c r="O59" s="1"/>
  <c r="P46"/>
  <c r="O46"/>
  <c r="P58"/>
  <c r="O58"/>
  <c r="L73"/>
  <c r="K73"/>
  <c r="P67"/>
  <c r="O67"/>
  <c r="P65"/>
  <c r="O65"/>
  <c r="P64"/>
  <c r="O64"/>
  <c r="P40"/>
  <c r="Q39"/>
  <c r="O40"/>
  <c r="P61"/>
  <c r="O61"/>
  <c r="P45"/>
  <c r="O45"/>
  <c r="P60"/>
  <c r="O60"/>
  <c r="P59"/>
  <c r="Q73"/>
  <c r="M73"/>
  <c r="J73"/>
  <c r="I73"/>
  <c r="P72"/>
  <c r="O72"/>
  <c r="P71"/>
  <c r="O71"/>
  <c r="P70"/>
  <c r="O70"/>
  <c r="P57"/>
  <c r="O57"/>
  <c r="P56"/>
  <c r="O56"/>
  <c r="P55"/>
  <c r="O55"/>
  <c r="P69"/>
  <c r="O69"/>
  <c r="P68"/>
  <c r="O68"/>
  <c r="P66"/>
  <c r="O66"/>
  <c r="O63"/>
  <c r="P62"/>
  <c r="O62"/>
  <c r="P54"/>
  <c r="O54"/>
  <c r="P53"/>
  <c r="O53"/>
  <c r="P52"/>
  <c r="O52"/>
  <c r="P51"/>
  <c r="O51"/>
  <c r="P50"/>
  <c r="O50"/>
  <c r="P49"/>
  <c r="O49"/>
  <c r="P48"/>
  <c r="O48"/>
  <c r="P47"/>
  <c r="O47"/>
  <c r="P44"/>
  <c r="O44"/>
  <c r="P43"/>
  <c r="O43"/>
  <c r="P42"/>
  <c r="O42"/>
  <c r="P41"/>
  <c r="O41"/>
  <c r="P39"/>
  <c r="O39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P63" i="36"/>
  <c r="O63"/>
  <c r="L63"/>
  <c r="N63"/>
  <c r="M63"/>
  <c r="K63"/>
  <c r="P62"/>
  <c r="O62"/>
  <c r="P26" i="39" l="1"/>
  <c r="M83"/>
  <c r="P34" i="38"/>
  <c r="M83"/>
  <c r="O32"/>
  <c r="P32"/>
  <c r="O39"/>
  <c r="P39"/>
  <c r="P63" i="37"/>
  <c r="P73" s="1"/>
  <c r="O73"/>
  <c r="P43" i="36"/>
  <c r="O43"/>
  <c r="P51"/>
  <c r="O51"/>
  <c r="P50"/>
  <c r="O50"/>
  <c r="P54"/>
  <c r="O54"/>
  <c r="P53"/>
  <c r="O53"/>
  <c r="P47"/>
  <c r="O47"/>
  <c r="P42"/>
  <c r="O42"/>
  <c r="P49"/>
  <c r="O49"/>
  <c r="P48"/>
  <c r="O48"/>
  <c r="Q63"/>
  <c r="J63"/>
  <c r="I63"/>
  <c r="P61"/>
  <c r="O61"/>
  <c r="P60"/>
  <c r="O60"/>
  <c r="P59"/>
  <c r="O59"/>
  <c r="P58"/>
  <c r="O58"/>
  <c r="P57"/>
  <c r="O57"/>
  <c r="P56"/>
  <c r="O56"/>
  <c r="P55"/>
  <c r="O55"/>
  <c r="P52"/>
  <c r="O52"/>
  <c r="P46"/>
  <c r="O46"/>
  <c r="P45"/>
  <c r="O45"/>
  <c r="P44"/>
  <c r="O44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P50" i="35"/>
  <c r="O50"/>
  <c r="P53"/>
  <c r="O53"/>
  <c r="N53"/>
  <c r="M53"/>
  <c r="L53"/>
  <c r="K53"/>
  <c r="P52"/>
  <c r="O52"/>
  <c r="P51"/>
  <c r="O51"/>
  <c r="P49"/>
  <c r="O49"/>
  <c r="P48"/>
  <c r="O48"/>
  <c r="I53"/>
  <c r="Q53"/>
  <c r="J53"/>
  <c r="P47"/>
  <c r="O47"/>
  <c r="P46"/>
  <c r="O46"/>
  <c r="P45"/>
  <c r="O45"/>
  <c r="P44"/>
  <c r="O44"/>
  <c r="P43"/>
  <c r="O43"/>
  <c r="P42"/>
  <c r="O42"/>
  <c r="P41"/>
  <c r="O41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L48" i="34"/>
  <c r="K48"/>
  <c r="O48"/>
  <c r="N48"/>
  <c r="M48"/>
  <c r="P47"/>
  <c r="O47"/>
  <c r="P46"/>
  <c r="O46"/>
  <c r="P41"/>
  <c r="O41"/>
  <c r="P44"/>
  <c r="P48" s="1"/>
  <c r="O44"/>
  <c r="P42"/>
  <c r="P43"/>
  <c r="P40"/>
  <c r="P45"/>
  <c r="O42"/>
  <c r="O43"/>
  <c r="O40"/>
  <c r="O45"/>
  <c r="J48"/>
  <c r="I48"/>
  <c r="O83" i="38" l="1"/>
  <c r="P83"/>
  <c r="Q48" i="34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O19"/>
  <c r="K44" i="33"/>
  <c r="L44"/>
  <c r="M44"/>
  <c r="N44"/>
  <c r="O44"/>
  <c r="P41"/>
  <c r="O41"/>
  <c r="Q44"/>
  <c r="J44"/>
  <c r="I44"/>
  <c r="P43"/>
  <c r="O43"/>
  <c r="P42"/>
  <c r="O42"/>
  <c r="P40"/>
  <c r="O40"/>
  <c r="P39"/>
  <c r="O39"/>
  <c r="P38"/>
  <c r="O38"/>
  <c r="P37"/>
  <c r="O37"/>
  <c r="P36"/>
  <c r="O36"/>
  <c r="P35"/>
  <c r="O35"/>
  <c r="P34"/>
  <c r="O34"/>
  <c r="P33"/>
  <c r="O33"/>
  <c r="P32"/>
  <c r="O32"/>
  <c r="P31"/>
  <c r="O31"/>
  <c r="P30"/>
  <c r="O30"/>
  <c r="P29"/>
  <c r="O29"/>
  <c r="P28"/>
  <c r="O28"/>
  <c r="P27"/>
  <c r="O27"/>
  <c r="P26"/>
  <c r="O26"/>
  <c r="P25"/>
  <c r="O25"/>
  <c r="P24"/>
  <c r="O24"/>
  <c r="P23"/>
  <c r="O23"/>
  <c r="P22"/>
  <c r="O22"/>
  <c r="P21"/>
  <c r="O21"/>
  <c r="P20"/>
  <c r="O20"/>
  <c r="P19"/>
  <c r="P44" s="1"/>
  <c r="O19"/>
  <c r="AV94" i="78"/>
  <c r="AT94"/>
  <c r="AU18"/>
  <c r="AU94" s="1"/>
</calcChain>
</file>

<file path=xl/sharedStrings.xml><?xml version="1.0" encoding="utf-8"?>
<sst xmlns="http://schemas.openxmlformats.org/spreadsheetml/2006/main" count="28462" uniqueCount="378">
  <si>
    <t>Додаток 8</t>
  </si>
  <si>
    <t>22.03.2013 №232</t>
  </si>
  <si>
    <t>про використання матеріальних цінностей, отриманих шляхом централізованого постачання за рахунок коштів Державного бюджету України в 2015 році</t>
  </si>
  <si>
    <t>Поставщик</t>
  </si>
  <si>
    <t>КПКВ</t>
  </si>
  <si>
    <t>Отримано</t>
  </si>
  <si>
    <t>Дата</t>
  </si>
  <si>
    <t>№</t>
  </si>
  <si>
    <t>ДП Укрмедпостач</t>
  </si>
  <si>
    <t>затискач</t>
  </si>
  <si>
    <t>політехмед</t>
  </si>
  <si>
    <t>Разом:</t>
  </si>
  <si>
    <t>Керівник                                                                                                                                                                              В.Є. Бліхар</t>
  </si>
  <si>
    <t>Постачальник</t>
  </si>
  <si>
    <t>Торгівельна 
назва</t>
  </si>
  <si>
    <t>Залишок на 
початок року</t>
  </si>
  <si>
    <t>Фактично 
використано</t>
  </si>
  <si>
    <t>Залишок 
невикористаних 
препаратів</t>
  </si>
  <si>
    <t>Кількість</t>
  </si>
  <si>
    <t>Сума</t>
  </si>
  <si>
    <t>Головний бухгалтер                                                                                                                О.М.Маркевич</t>
  </si>
  <si>
    <t xml:space="preserve"> до наказу Міністерства охорони здоров"я України</t>
  </si>
  <si>
    <t>ІНФОРМАЦІЯ</t>
  </si>
  <si>
    <t>ДУО "Політехмед"</t>
  </si>
  <si>
    <t>ДП "Укрмедпостач"</t>
  </si>
  <si>
    <t>Головний лікар                                                                                                                        В.Є.Бліхар</t>
  </si>
  <si>
    <t>М.П.</t>
  </si>
  <si>
    <t>ТзОВ "Діавіта"</t>
  </si>
  <si>
    <t xml:space="preserve">затискач вихідного каналу       </t>
  </si>
  <si>
    <t xml:space="preserve">фіксуючий титановий перехідник </t>
  </si>
  <si>
    <t xml:space="preserve">діаніл 1,36% 2000мл </t>
  </si>
  <si>
    <t>катетер Argyle для перитонеального діалізу</t>
  </si>
  <si>
    <t xml:space="preserve">комплект трубок підвищеної міцності  </t>
  </si>
  <si>
    <t>(у редакції наказу МОЗ України від 31.03.2015 № 194)</t>
  </si>
  <si>
    <t>Разом</t>
  </si>
  <si>
    <t>про використання матеріальних цінностей, отриманих шляхом централізованого постачання за рахунок коштів Державного бюджету України</t>
  </si>
  <si>
    <t>КЗ "Черкаська обласна лікарня 
Черкаської обласної ради"</t>
  </si>
  <si>
    <t>Наказ МОЗ</t>
  </si>
  <si>
    <t xml:space="preserve">                                                   Виконавець
                                                   Вишовська О.П.
                                                   27-33-78</t>
  </si>
  <si>
    <t>Тернопільська університетська лікарня</t>
  </si>
  <si>
    <t>катетер для перитонеального діалізу</t>
  </si>
  <si>
    <t xml:space="preserve">дренажний комплект циклера </t>
  </si>
  <si>
    <t xml:space="preserve">набір HomeChoice для автоматизованого ПД з касетою, 4 конектори       </t>
  </si>
  <si>
    <t>екстраніл 2 л</t>
  </si>
  <si>
    <r>
      <t xml:space="preserve">діаніл ПД 4 з вмістом глюкози </t>
    </r>
    <r>
      <rPr>
        <b/>
        <sz val="12"/>
        <color rgb="FFFF0000"/>
        <rFont val="Times New Roman"/>
        <family val="1"/>
        <charset val="204"/>
      </rPr>
      <t xml:space="preserve">1,36%, по 2000 мл  </t>
    </r>
    <r>
      <rPr>
        <sz val="12"/>
        <rFont val="Times New Roman"/>
        <family val="1"/>
        <charset val="204"/>
      </rPr>
      <t xml:space="preserve">      </t>
    </r>
  </si>
  <si>
    <r>
      <t>діаніл ПД 4 з вмістом глюкози</t>
    </r>
    <r>
      <rPr>
        <b/>
        <sz val="12"/>
        <rFont val="Times New Roman"/>
        <family val="1"/>
        <charset val="204"/>
      </rPr>
      <t xml:space="preserve"> 1,36%, по 5000 мл  </t>
    </r>
    <r>
      <rPr>
        <sz val="12"/>
        <rFont val="Times New Roman"/>
        <family val="1"/>
        <charset val="204"/>
      </rPr>
      <t xml:space="preserve">      </t>
    </r>
  </si>
  <si>
    <r>
      <t xml:space="preserve">діаніл ПД 4 з вмістом глюкози </t>
    </r>
    <r>
      <rPr>
        <b/>
        <sz val="12"/>
        <rFont val="Times New Roman"/>
        <family val="1"/>
        <charset val="204"/>
      </rPr>
      <t xml:space="preserve">2,27%, по 5000 мл     </t>
    </r>
    <r>
      <rPr>
        <sz val="12"/>
        <rFont val="Times New Roman"/>
        <family val="1"/>
        <charset val="204"/>
      </rPr>
      <t xml:space="preserve">    </t>
    </r>
  </si>
  <si>
    <r>
      <t xml:space="preserve">діаніл ПД 4 з вмістом глюкози </t>
    </r>
    <r>
      <rPr>
        <b/>
        <sz val="12"/>
        <rFont val="Times New Roman"/>
        <family val="1"/>
        <charset val="204"/>
      </rPr>
      <t xml:space="preserve">2,27%, по 5000 мл </t>
    </r>
    <r>
      <rPr>
        <sz val="12"/>
        <rFont val="Times New Roman"/>
        <family val="1"/>
        <charset val="204"/>
      </rPr>
      <t xml:space="preserve">        </t>
    </r>
  </si>
  <si>
    <t>нутриніл 1,1 %, 2 л</t>
  </si>
  <si>
    <r>
      <t xml:space="preserve"> у 2016 році за станом на</t>
    </r>
    <r>
      <rPr>
        <sz val="14"/>
        <color rgb="FFFF0000"/>
        <rFont val="Times New Roman"/>
        <family val="1"/>
        <charset val="204"/>
      </rPr>
      <t xml:space="preserve"> 01 січня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</si>
  <si>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лютого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</si>
  <si>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t>Наказ 
МОЗ</t>
  </si>
  <si>
    <r>
      <t xml:space="preserve">діаніл ПД 4 з вмістом глюкози </t>
    </r>
    <r>
      <rPr>
        <b/>
        <sz val="12"/>
        <color rgb="FFFF0000"/>
        <rFont val="Times New Roman"/>
        <family val="1"/>
        <charset val="204"/>
      </rPr>
      <t xml:space="preserve">2,27% по 2000мл </t>
    </r>
  </si>
  <si>
    <r>
      <t xml:space="preserve">набір </t>
    </r>
    <r>
      <rPr>
        <b/>
        <sz val="12"/>
        <rFont val="Times New Roman"/>
        <family val="1"/>
        <charset val="204"/>
      </rPr>
      <t>HomeChoice</t>
    </r>
    <r>
      <rPr>
        <sz val="12"/>
        <rFont val="Times New Roman"/>
        <family val="1"/>
        <charset val="204"/>
      </rPr>
      <t xml:space="preserve"> для автоматизованого ПД з касетою, 4 конектори       </t>
    </r>
  </si>
  <si>
    <r>
      <t xml:space="preserve">діаніл ПД 4 з вмістом глюкози </t>
    </r>
    <r>
      <rPr>
        <b/>
        <sz val="12"/>
        <color rgb="FFFF0000"/>
        <rFont val="Times New Roman"/>
        <family val="1"/>
        <charset val="204"/>
      </rPr>
      <t xml:space="preserve">1,36% по 2000мл </t>
    </r>
  </si>
  <si>
    <r>
      <t>діаніл ПД 4 з вмістом глюкози</t>
    </r>
    <r>
      <rPr>
        <b/>
        <sz val="12"/>
        <rFont val="Times New Roman"/>
        <family val="1"/>
        <charset val="204"/>
      </rPr>
      <t xml:space="preserve"> 1,36%, по </t>
    </r>
    <r>
      <rPr>
        <b/>
        <sz val="12"/>
        <color rgb="FFFF0000"/>
        <rFont val="Times New Roman"/>
        <family val="1"/>
        <charset val="204"/>
      </rPr>
      <t xml:space="preserve">5000 </t>
    </r>
    <r>
      <rPr>
        <b/>
        <sz val="12"/>
        <rFont val="Times New Roman"/>
        <family val="1"/>
        <charset val="204"/>
      </rPr>
      <t xml:space="preserve">мл  </t>
    </r>
    <r>
      <rPr>
        <sz val="12"/>
        <rFont val="Times New Roman"/>
        <family val="1"/>
        <charset val="204"/>
      </rPr>
      <t xml:space="preserve">      </t>
    </r>
  </si>
  <si>
    <r>
      <t xml:space="preserve">діаніл ПД 4 з вмістом глюкози </t>
    </r>
    <r>
      <rPr>
        <b/>
        <sz val="12"/>
        <rFont val="Times New Roman"/>
        <family val="1"/>
        <charset val="204"/>
      </rPr>
      <t xml:space="preserve">2,27%, по </t>
    </r>
    <r>
      <rPr>
        <b/>
        <sz val="12"/>
        <color rgb="FFFF0000"/>
        <rFont val="Times New Roman"/>
        <family val="1"/>
        <charset val="204"/>
      </rPr>
      <t>5000</t>
    </r>
    <r>
      <rPr>
        <b/>
        <sz val="12"/>
        <rFont val="Times New Roman"/>
        <family val="1"/>
        <charset val="204"/>
      </rPr>
      <t xml:space="preserve"> мл     </t>
    </r>
    <r>
      <rPr>
        <sz val="12"/>
        <rFont val="Times New Roman"/>
        <family val="1"/>
        <charset val="204"/>
      </rPr>
      <t xml:space="preserve">    </t>
    </r>
  </si>
  <si>
    <r>
      <t xml:space="preserve">ковпачок роз"єднювальний дезінфікуючий </t>
    </r>
    <r>
      <rPr>
        <b/>
        <sz val="12"/>
        <rFont val="Times New Roman"/>
        <family val="1"/>
        <charset val="204"/>
      </rPr>
      <t>MiniCap</t>
    </r>
    <r>
      <rPr>
        <sz val="12"/>
        <rFont val="Times New Roman"/>
        <family val="1"/>
        <charset val="204"/>
      </rPr>
      <t xml:space="preserve">         </t>
    </r>
  </si>
  <si>
    <t xml:space="preserve">фіксуючий титановий перехідник  </t>
  </si>
  <si>
    <t>б/н</t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</si>
  <si>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березня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</si>
  <si>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t xml:space="preserve">затискач вихідного каналу </t>
  </si>
  <si>
    <t xml:space="preserve">комплект трубок підвищеної міцності </t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</si>
  <si>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квітня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</si>
  <si>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r>
      <t xml:space="preserve">діаніл ПД 4 з вмістом глюкози </t>
    </r>
    <r>
      <rPr>
        <b/>
        <sz val="12"/>
        <rFont val="Times New Roman"/>
        <family val="1"/>
        <charset val="204"/>
      </rPr>
      <t>2,27% по</t>
    </r>
    <r>
      <rPr>
        <b/>
        <sz val="12"/>
        <color rgb="FFFF0000"/>
        <rFont val="Times New Roman"/>
        <family val="1"/>
        <charset val="204"/>
      </rPr>
      <t xml:space="preserve"> 5000 </t>
    </r>
    <r>
      <rPr>
        <b/>
        <sz val="12"/>
        <rFont val="Times New Roman"/>
        <family val="1"/>
        <charset val="204"/>
      </rPr>
      <t>мл</t>
    </r>
    <r>
      <rPr>
        <b/>
        <sz val="12"/>
        <color rgb="FFFF0000"/>
        <rFont val="Times New Roman"/>
        <family val="1"/>
        <charset val="204"/>
      </rPr>
      <t xml:space="preserve"> </t>
    </r>
  </si>
  <si>
    <r>
      <t xml:space="preserve">діаніл ПД 4 з вмістом глюкози </t>
    </r>
    <r>
      <rPr>
        <b/>
        <sz val="12"/>
        <color rgb="FFFF0000"/>
        <rFont val="Times New Roman"/>
        <family val="1"/>
        <charset val="204"/>
      </rPr>
      <t xml:space="preserve">2,27% по 2000 мл </t>
    </r>
  </si>
  <si>
    <r>
      <t>катетер</t>
    </r>
    <r>
      <rPr>
        <b/>
        <sz val="12"/>
        <rFont val="Times New Roman"/>
        <family val="1"/>
        <charset val="204"/>
      </rPr>
      <t xml:space="preserve"> Argryle</t>
    </r>
    <r>
      <rPr>
        <sz val="12"/>
        <rFont val="Times New Roman"/>
        <family val="1"/>
        <charset val="204"/>
      </rPr>
      <t xml:space="preserve"> для перитонеального діалізу </t>
    </r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</si>
  <si>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травня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</si>
  <si>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r>
      <t xml:space="preserve">діаніл ПД 4 з вмістом глюкози </t>
    </r>
    <r>
      <rPr>
        <b/>
        <sz val="12"/>
        <rFont val="Times New Roman"/>
        <family val="1"/>
        <charset val="204"/>
      </rPr>
      <t>3,86%</t>
    </r>
    <r>
      <rPr>
        <b/>
        <sz val="12"/>
        <color rgb="FFFF0000"/>
        <rFont val="Times New Roman"/>
        <family val="1"/>
        <charset val="204"/>
      </rPr>
      <t xml:space="preserve"> по </t>
    </r>
    <r>
      <rPr>
        <b/>
        <sz val="12"/>
        <rFont val="Times New Roman"/>
        <family val="1"/>
        <charset val="204"/>
      </rPr>
      <t>2000 мл</t>
    </r>
    <r>
      <rPr>
        <b/>
        <sz val="12"/>
        <color rgb="FFFF0000"/>
        <rFont val="Times New Roman"/>
        <family val="1"/>
        <charset val="204"/>
      </rPr>
      <t xml:space="preserve"> </t>
    </r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</si>
  <si>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червня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</si>
  <si>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липня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</si>
  <si>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r>
      <t xml:space="preserve"> у 2017 році за станом на</t>
    </r>
    <r>
      <rPr>
        <sz val="14"/>
        <color rgb="FFFF0000"/>
        <rFont val="Times New Roman"/>
        <family val="1"/>
        <charset val="204"/>
      </rPr>
      <t xml:space="preserve"> 01 серпня 2018</t>
    </r>
    <r>
      <rPr>
        <sz val="14"/>
        <rFont val="Times New Roman"/>
        <family val="1"/>
        <charset val="204"/>
      </rPr>
      <t xml:space="preserve"> року за державною програмою по лікувально-профілактичному закладі міста </t>
    </r>
  </si>
  <si>
    <t>Міжнародна непатентована назва лікарського засобу / Назва медичного виробу</t>
  </si>
  <si>
    <t>Кількість одиниць лікарського засобу / медичного виробу для лікування одного пацієнта</t>
  </si>
  <si>
    <t>Кількість пацієнтів</t>
  </si>
  <si>
    <t>Ціна лікарського засобу / медичного виробу за одиницю, гривень</t>
  </si>
  <si>
    <t>Повна потреба на 2018 рік</t>
  </si>
  <si>
    <t>одиниць</t>
  </si>
  <si>
    <t>гривень</t>
  </si>
  <si>
    <t>Квота</t>
  </si>
  <si>
    <t>2016 рік</t>
  </si>
  <si>
    <t>2017 рік</t>
  </si>
  <si>
    <t>2018рік</t>
  </si>
  <si>
    <t>№ та дата отриманого документа (видаткової накладної)</t>
  </si>
  <si>
    <t>Номер і дата наказу управління охорони здоров'я облдержадміністрації</t>
  </si>
  <si>
    <t>по квоті 2016 року</t>
  </si>
  <si>
    <t>по квоті 2017 року</t>
  </si>
  <si>
    <t>по квоті 2018 року</t>
  </si>
  <si>
    <t>Серія</t>
  </si>
  <si>
    <t>Форма випуску</t>
  </si>
  <si>
    <t>Одиниця виміру</t>
  </si>
  <si>
    <t>шт</t>
  </si>
  <si>
    <t>14F04Н80</t>
  </si>
  <si>
    <t>Н15121067</t>
  </si>
  <si>
    <t>К-5281</t>
  </si>
  <si>
    <t>№з/п</t>
  </si>
  <si>
    <t>К-сть</t>
  </si>
  <si>
    <t>Отримано з початку року станом на 01.09.2018 року</t>
  </si>
  <si>
    <r>
      <t xml:space="preserve">Отримано
</t>
    </r>
    <r>
      <rPr>
        <b/>
        <sz val="12"/>
        <color rgb="FFFF0000"/>
        <rFont val="Times New Roman"/>
        <family val="1"/>
        <charset val="204"/>
      </rPr>
      <t>за 2018 рік</t>
    </r>
    <r>
      <rPr>
        <b/>
        <sz val="12"/>
        <rFont val="Times New Roman"/>
        <family val="1"/>
        <charset val="204"/>
      </rPr>
      <t xml:space="preserve">
РАЗОМ</t>
    </r>
  </si>
  <si>
    <r>
      <t>Фактично
використано</t>
    </r>
    <r>
      <rPr>
        <b/>
        <sz val="12"/>
        <color rgb="FFFF0000"/>
        <rFont val="Times New Roman"/>
        <family val="1"/>
        <charset val="204"/>
      </rPr>
      <t xml:space="preserve"> 
за 2018 рік</t>
    </r>
  </si>
  <si>
    <t>Залишок на 
початок місяця</t>
  </si>
  <si>
    <t>Додаток 7</t>
  </si>
  <si>
    <t>Отримано
за звітній місяць</t>
  </si>
  <si>
    <t>Використано за місяць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</si>
  <si>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>на кінець місяця</t>
    </r>
  </si>
  <si>
    <t>Всього</t>
  </si>
  <si>
    <t xml:space="preserve">В тому числі по окремих 
лікувальних закладах області , 
кількість одиниць </t>
  </si>
  <si>
    <t>Ціна</t>
  </si>
  <si>
    <t>ТУЛ</t>
  </si>
  <si>
    <t>К-3540</t>
  </si>
  <si>
    <t>14-од</t>
  </si>
  <si>
    <t>розчин для перитон.діалізу із вмістом глюкози 2,25-2,5% в мішках подвійних ємністю 2000мл</t>
  </si>
  <si>
    <t>17J25G41</t>
  </si>
  <si>
    <t>К-3112</t>
  </si>
  <si>
    <t>розчин для перитон.діалізу з концентрацією глюкози 1,35-1,5% для апаратного перитон.діалізу</t>
  </si>
  <si>
    <t>17J08G30</t>
  </si>
  <si>
    <t>розчин для перитон.діалізу із вмістом глюкози 1,35-1,5% в мішках подвійних ємністю 2000мл</t>
  </si>
  <si>
    <t>К-3545</t>
  </si>
  <si>
    <t>59-од</t>
  </si>
  <si>
    <t>17J26G42</t>
  </si>
  <si>
    <t>17І19Н15</t>
  </si>
  <si>
    <t>ковпачок дезінфікуючий (від"єднуємий)</t>
  </si>
  <si>
    <t>17G18H35</t>
  </si>
  <si>
    <t>адаптер до катетера для перитон.діалізу</t>
  </si>
  <si>
    <t>17G12G41</t>
  </si>
  <si>
    <t>К-4012</t>
  </si>
  <si>
    <t>К-3932</t>
  </si>
  <si>
    <t>затискач (перемикач) магыстралей</t>
  </si>
  <si>
    <t>17І26Н80</t>
  </si>
  <si>
    <t>трубка перехідна (подовжувач катетера)</t>
  </si>
  <si>
    <t>Н17І28052</t>
  </si>
  <si>
    <t>К-4017</t>
  </si>
  <si>
    <t>17К23G42</t>
  </si>
  <si>
    <t>17L05G40</t>
  </si>
  <si>
    <t>17L06G42</t>
  </si>
  <si>
    <t xml:space="preserve">катетер для перитонеального діалізу </t>
  </si>
  <si>
    <t>К-5284</t>
  </si>
  <si>
    <t>17К27G30</t>
  </si>
  <si>
    <t>К-5283</t>
  </si>
  <si>
    <t>17L09G30</t>
  </si>
  <si>
    <t>розчин для перитон.діалізу з концентрацією глюкози 2,25-2,5% для апаратного перитон.діалізу</t>
  </si>
  <si>
    <t>К-5282</t>
  </si>
  <si>
    <t>276-од</t>
  </si>
  <si>
    <t>К-5280</t>
  </si>
  <si>
    <t>К-5548</t>
  </si>
  <si>
    <t>17І27G41</t>
  </si>
  <si>
    <t>розчин для перитон.діалізу із вмістом глюкози 3,85-4,25% в мішках подвійних ємністю 2000мл</t>
  </si>
  <si>
    <t>359-од</t>
  </si>
  <si>
    <t>18А18G42</t>
  </si>
  <si>
    <t>К-5541</t>
  </si>
  <si>
    <t>17L14G40</t>
  </si>
  <si>
    <t>18А03G41</t>
  </si>
  <si>
    <t>розчин для перит.діалізу з вмістом амінокислот в мішках подвійних ємністю 2000 мл</t>
  </si>
  <si>
    <t>17І03G30</t>
  </si>
  <si>
    <t>237-од</t>
  </si>
  <si>
    <t>238-од</t>
  </si>
  <si>
    <t>-</t>
  </si>
  <si>
    <t>17І15G30</t>
  </si>
  <si>
    <t>245-од</t>
  </si>
  <si>
    <t>К-5678</t>
  </si>
  <si>
    <t>375-од</t>
  </si>
  <si>
    <t>18А10G40</t>
  </si>
  <si>
    <t>К-6024</t>
  </si>
  <si>
    <t>розчин для перитон.діалізу тривалої дії без вмісту амінокислот, 2000мл</t>
  </si>
  <si>
    <t>18А05G40</t>
  </si>
  <si>
    <t>Н17J03021</t>
  </si>
  <si>
    <t>дренажний комплект до апарата для автоматизованого перитон.діалізу</t>
  </si>
  <si>
    <t>S17J20063</t>
  </si>
  <si>
    <t>касета до апарата для автоматизованого перитон.діалізу</t>
  </si>
  <si>
    <t>18В01G42</t>
  </si>
  <si>
    <t>17І27Н35</t>
  </si>
  <si>
    <t>17J25H80</t>
  </si>
  <si>
    <t>Н17128052</t>
  </si>
  <si>
    <t>17К02Н15</t>
  </si>
  <si>
    <t>К-6481</t>
  </si>
  <si>
    <t>18А25G40</t>
  </si>
  <si>
    <t>18А23G40</t>
  </si>
  <si>
    <t>К-6478</t>
  </si>
  <si>
    <t>409-од</t>
  </si>
  <si>
    <t>К-6479</t>
  </si>
  <si>
    <t>18В08G40</t>
  </si>
  <si>
    <t>17J04G41</t>
  </si>
  <si>
    <t>К-5549</t>
  </si>
  <si>
    <t>18D13H15</t>
  </si>
  <si>
    <t>К-7676</t>
  </si>
  <si>
    <t>586-од</t>
  </si>
  <si>
    <t>18Е02G40</t>
  </si>
  <si>
    <t>18E17G41</t>
  </si>
  <si>
    <t>про забезпеченість лікарськими засобами та медичними виробами, закупленими за кошти державного бюджету</t>
  </si>
  <si>
    <t>в межах виконання бюджетної програми КПКВ 2301400 "Забезпечення медичних заходів окремих державних програм та комплексних заходів програмного характеру"</t>
  </si>
  <si>
    <r>
      <t xml:space="preserve"> станом на </t>
    </r>
    <r>
      <rPr>
        <b/>
        <sz val="14"/>
        <color rgb="FFFF0000"/>
        <rFont val="Times New Roman"/>
        <family val="1"/>
        <charset val="204"/>
      </rPr>
      <t>01 вересня 2018</t>
    </r>
    <r>
      <rPr>
        <b/>
        <sz val="14"/>
        <rFont val="Times New Roman"/>
        <family val="1"/>
        <charset val="204"/>
      </rPr>
      <t xml:space="preserve"> року </t>
    </r>
  </si>
  <si>
    <t>Тернопільська область</t>
  </si>
  <si>
    <r>
      <t>за напрямом</t>
    </r>
    <r>
      <rPr>
        <b/>
        <sz val="14"/>
        <color rgb="FFFF0000"/>
        <rFont val="Times New Roman"/>
        <family val="1"/>
        <charset val="204"/>
      </rPr>
      <t xml:space="preserve"> Закупівля витратних матеріалів для лікування хворих методом перитонеального діалізу</t>
    </r>
  </si>
  <si>
    <t>15F24H35</t>
  </si>
  <si>
    <t>К-1939</t>
  </si>
  <si>
    <t>К-2661</t>
  </si>
  <si>
    <t>Н17G06060</t>
  </si>
  <si>
    <t>S17G06070</t>
  </si>
  <si>
    <r>
      <t xml:space="preserve">діаніл ПД 4 з вмістом глюкози 1,36%, по </t>
    </r>
    <r>
      <rPr>
        <sz val="12"/>
        <color rgb="FFFF0000"/>
        <rFont val="Times New Roman"/>
        <family val="1"/>
        <charset val="204"/>
      </rPr>
      <t xml:space="preserve">5000 </t>
    </r>
    <r>
      <rPr>
        <sz val="12"/>
        <rFont val="Times New Roman"/>
        <family val="1"/>
        <charset val="204"/>
      </rPr>
      <t xml:space="preserve">мл        </t>
    </r>
  </si>
  <si>
    <t>К-2877</t>
  </si>
  <si>
    <r>
      <t xml:space="preserve">діаніл ПД 4 з вмістом глюкози 2,27%, по </t>
    </r>
    <r>
      <rPr>
        <sz val="12"/>
        <color rgb="FFFF0000"/>
        <rFont val="Times New Roman"/>
        <family val="1"/>
        <charset val="204"/>
      </rPr>
      <t>5000</t>
    </r>
    <r>
      <rPr>
        <sz val="12"/>
        <rFont val="Times New Roman"/>
        <family val="1"/>
        <charset val="204"/>
      </rPr>
      <t xml:space="preserve"> мл         </t>
    </r>
  </si>
  <si>
    <t>К-2875</t>
  </si>
  <si>
    <t>17І05G40</t>
  </si>
  <si>
    <t>К-2593</t>
  </si>
  <si>
    <t>17І29G41</t>
  </si>
  <si>
    <t>Головний лікар</t>
  </si>
  <si>
    <t>Головний бухгалтер</t>
  </si>
  <si>
    <t xml:space="preserve">                                    Виконавець
                                    Вишовська О.П.
                                    27-33-78</t>
  </si>
  <si>
    <t>В.Є.Бліхар</t>
  </si>
  <si>
    <t>О.М.Маркевич</t>
  </si>
  <si>
    <t>694-од</t>
  </si>
  <si>
    <t>509-од</t>
  </si>
  <si>
    <r>
      <t xml:space="preserve">Залишок 
невикористаних 
препаратів  </t>
    </r>
    <r>
      <rPr>
        <b/>
        <sz val="12"/>
        <color theme="3" tint="0.39997558519241921"/>
        <rFont val="Times New Roman"/>
        <family val="1"/>
        <charset val="204"/>
      </rPr>
      <t xml:space="preserve">на 28.09.2018 року </t>
    </r>
  </si>
  <si>
    <t>Забезпеченість лікарськими засобами та медичними виробами, закупленими за кошти державного бюджету</t>
  </si>
  <si>
    <t>в межах виконання бюджетної програми КПКВ 2301400 "Забезпечення медичних заходів окремих державних програм та комплексних заходів 
програмного характеру"</t>
  </si>
  <si>
    <r>
      <t xml:space="preserve">за напрямом 
</t>
    </r>
    <r>
      <rPr>
        <b/>
        <sz val="12"/>
        <color rgb="FFFF0000"/>
        <rFont val="Times New Roman"/>
        <family val="1"/>
        <charset val="204"/>
      </rPr>
      <t>Закупівля витратних матеріалів для лікування хворих методом перитонеального діалізу</t>
    </r>
  </si>
  <si>
    <r>
      <t xml:space="preserve"> станом </t>
    </r>
    <r>
      <rPr>
        <b/>
        <u/>
        <sz val="12"/>
        <color theme="3" tint="0.39997558519241921"/>
        <rFont val="Times New Roman"/>
        <family val="1"/>
        <charset val="204"/>
      </rPr>
      <t xml:space="preserve">на 28.09.2018 року </t>
    </r>
  </si>
  <si>
    <r>
      <t xml:space="preserve"> станом </t>
    </r>
    <r>
      <rPr>
        <b/>
        <u/>
        <sz val="12"/>
        <color theme="3" tint="0.39997558519241921"/>
        <rFont val="Times New Roman"/>
        <family val="1"/>
        <charset val="204"/>
      </rPr>
      <t xml:space="preserve">на 05.10.2018 року </t>
    </r>
  </si>
  <si>
    <r>
      <t xml:space="preserve">Залишок 
невикористаних 
препаратів  </t>
    </r>
    <r>
      <rPr>
        <b/>
        <sz val="12"/>
        <color theme="3" tint="0.39997558519241921"/>
        <rFont val="Times New Roman"/>
        <family val="1"/>
        <charset val="204"/>
      </rPr>
      <t xml:space="preserve">на 05.10.2018 року </t>
    </r>
  </si>
  <si>
    <r>
      <t xml:space="preserve">Отримано
</t>
    </r>
    <r>
      <rPr>
        <b/>
        <sz val="12"/>
        <color rgb="FFFF0000"/>
        <rFont val="Times New Roman"/>
        <family val="1"/>
        <charset val="204"/>
      </rPr>
      <t>за 2018 рік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</si>
  <si>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12.10.2018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</si>
  <si>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12.10.2018 року </t>
    </r>
  </si>
  <si>
    <t>Отримано
за 2018 рік</t>
  </si>
  <si>
    <t>Тернопільська
університетська
лікарня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</si>
  <si>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19.10.2018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</si>
  <si>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19.10.2018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</si>
  <si>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26.10.2018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</si>
  <si>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26.10.2018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</si>
  <si>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02.11.2018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</si>
  <si>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02.11.2018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</si>
  <si>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09.11.2018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</si>
  <si>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09.11.2018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</si>
  <si>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15.11.2018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</si>
  <si>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15.11.2018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</si>
  <si>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23.11.2018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</si>
  <si>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23.11.2018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</si>
  <si>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30.11.2018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</si>
  <si>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30.11.2018</t>
    </r>
  </si>
  <si>
    <r>
      <t xml:space="preserve">діаніл ПД 4 з вмістом глюкози 1,36%, по </t>
    </r>
    <r>
      <rPr>
        <sz val="10"/>
        <rFont val="Arial Cyr"/>
        <charset val="204"/>
      </rPr>
      <t xml:space="preserve">5000 мл        </t>
    </r>
  </si>
  <si>
    <r>
      <t xml:space="preserve">діаніл ПД 4 з вмістом глюкози 1,36%, по </t>
    </r>
    <r>
      <rPr>
        <sz val="10"/>
        <rFont val="Arial Cyr"/>
        <charset val="204"/>
      </rPr>
      <t xml:space="preserve">5000 мл        </t>
    </r>
  </si>
  <si>
    <r>
      <t xml:space="preserve">діаніл ПД 4 з вмістом глюкози </t>
    </r>
    <r>
      <rPr>
        <b/>
        <sz val="10"/>
        <rFont val="Arial Cyr"/>
        <charset val="204"/>
      </rPr>
      <t xml:space="preserve">1,36%, по 2000 мл  </t>
    </r>
    <r>
      <rPr>
        <sz val="10"/>
        <rFont val="Arial Cyr"/>
        <charset val="204"/>
      </rPr>
      <t xml:space="preserve">     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</si>
  <si>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07.12.2018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</si>
  <si>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07.12.2018 року </t>
    </r>
  </si>
  <si>
    <t>18І11G41</t>
  </si>
  <si>
    <t>18Н17G30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</si>
  <si>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13.12.2018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</si>
  <si>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13.12.2018</t>
    </r>
  </si>
  <si>
    <t xml:space="preserve">діаніл ПД 4 з вмістом глюкози 1,36%, по 5000 мл        </t>
  </si>
  <si>
    <t xml:space="preserve">діаніл ПД 4 з вмістом глюкози 2,27%, по 5000 мл         </t>
  </si>
  <si>
    <t xml:space="preserve">діаніл ПД 4 з вмістом глюкози 3,86% по 2000 мл </t>
  </si>
  <si>
    <t xml:space="preserve">діаніл ПД 4 з вмістом глюкози 2,27% по 5000 мл 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</si>
  <si>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20.12.2018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</si>
  <si>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20.12.2018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</si>
  <si>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27.12.2018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</si>
  <si>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27.12.2018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</si>
  <si>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18.01.2018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</si>
  <si>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18.01.2018</t>
    </r>
  </si>
  <si>
    <r>
      <t xml:space="preserve">Отримано
</t>
    </r>
    <r>
      <rPr>
        <b/>
        <sz val="12"/>
        <color rgb="FFFF0000"/>
        <rFont val="Times New Roman"/>
        <family val="1"/>
        <charset val="204"/>
      </rPr>
      <t>за 2019 рі</t>
    </r>
    <r>
      <rPr>
        <b/>
        <sz val="12"/>
        <rFont val="Times New Roman"/>
        <family val="1"/>
        <charset val="204"/>
      </rPr>
      <t>к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</si>
  <si>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25.01.2018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</si>
  <si>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25.01.2018</t>
    </r>
  </si>
  <si>
    <t>18J19G41</t>
  </si>
  <si>
    <t>18І28G41</t>
  </si>
  <si>
    <t>18J13G30</t>
  </si>
  <si>
    <t>18Н15G30</t>
  </si>
  <si>
    <t>18Н20G30</t>
  </si>
  <si>
    <t>18J12G40</t>
  </si>
  <si>
    <t>18І12Н15</t>
  </si>
  <si>
    <t>Н18F01088</t>
  </si>
  <si>
    <t>S18G04056</t>
  </si>
  <si>
    <r>
      <t xml:space="preserve">нутриніл </t>
    </r>
    <r>
      <rPr>
        <b/>
        <sz val="12"/>
        <rFont val="Times New Roman"/>
        <family val="1"/>
        <charset val="204"/>
      </rPr>
      <t>1,1 %, 2 л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</si>
  <si>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01.02.2018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</si>
  <si>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01.02.2018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</si>
  <si>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08.02.2018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</si>
  <si>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08.02.2018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</si>
  <si>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15.02.2018 року </t>
    </r>
  </si>
  <si>
    <r>
      <t xml:space="preserve">Отримано
</t>
    </r>
    <r>
      <rPr>
        <b/>
        <sz val="12"/>
        <color rgb="FFFF0000"/>
        <rFont val="Times New Roman"/>
        <family val="1"/>
        <charset val="204"/>
      </rPr>
      <t>за 2019 рік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</si>
  <si>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15.02.2018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</si>
  <si>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22.02.2018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</si>
  <si>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22.02.2018</t>
    </r>
  </si>
  <si>
    <t>дезінфекційний ковпачок до системи стей-сейф (або еквівалент)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</si>
  <si>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01.03.2018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</si>
  <si>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01.03.2018 року </t>
    </r>
  </si>
  <si>
    <t>18К01G40</t>
  </si>
  <si>
    <t>18К06G30</t>
  </si>
  <si>
    <t>18J23Н15</t>
  </si>
  <si>
    <t>18К19G31</t>
  </si>
  <si>
    <t>на перерозподіл</t>
  </si>
  <si>
    <t>на перерозподіл 1815</t>
  </si>
  <si>
    <t>на перерозподіл 8+8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</si>
  <si>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07.03.2018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</si>
  <si>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07.03.2018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</si>
  <si>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15.03.2018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</si>
  <si>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15.03.2018</t>
    </r>
  </si>
  <si>
    <t>18L10G30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</si>
  <si>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29.03.2018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</si>
  <si>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29.03.2018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</si>
  <si>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22.03.2018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</si>
  <si>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22.03.2018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</si>
  <si>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05.04.2018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</si>
  <si>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05.04.2018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</si>
  <si>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12.04.2018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</si>
  <si>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12.04.2018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</si>
  <si>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19.04.2018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</si>
  <si>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19.04.2018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</si>
  <si>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27.04.2018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</si>
  <si>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27.04.2018</t>
    </r>
  </si>
  <si>
    <t>Н18І16049</t>
  </si>
  <si>
    <t>S19А28034</t>
  </si>
  <si>
    <t>19А21G40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</si>
  <si>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03.05.2018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</si>
  <si>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03.05.2018 року </t>
    </r>
  </si>
  <si>
    <t>18L13H15</t>
  </si>
  <si>
    <t>H18G31091</t>
  </si>
  <si>
    <t>S18L06041</t>
  </si>
  <si>
    <t>19A04G42</t>
  </si>
  <si>
    <t>H18H08139</t>
  </si>
  <si>
    <t>S19A18037</t>
  </si>
  <si>
    <t>19A21G40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</si>
  <si>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10.05.2018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</si>
  <si>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10.05.2018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</si>
  <si>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17.05.2018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</si>
  <si>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17.05.2018 року </t>
    </r>
  </si>
  <si>
    <t>19В15G43</t>
  </si>
  <si>
    <t>19В27G31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</si>
  <si>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24.05.2018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</si>
  <si>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24.05.2018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</si>
  <si>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31.05.2018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</si>
  <si>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31.05.2018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</si>
  <si>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07.06.2018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</si>
  <si>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07.06.2018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</si>
  <si>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14.06.2018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</si>
  <si>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14.06.2018</t>
    </r>
  </si>
  <si>
    <t>19С07G40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</si>
  <si>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31.06.2018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</si>
  <si>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31.06.2018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</si>
  <si>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31.07.2018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</si>
  <si>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31.07.2018</t>
    </r>
  </si>
  <si>
    <t>19С25G41</t>
  </si>
  <si>
    <t>19D09G41</t>
  </si>
  <si>
    <r>
      <t xml:space="preserve">діавітек ПД </t>
    </r>
    <r>
      <rPr>
        <b/>
        <sz val="13"/>
        <rFont val="Times New Roman"/>
        <family val="1"/>
        <charset val="204"/>
      </rPr>
      <t>1,5%, 2000мл</t>
    </r>
  </si>
  <si>
    <t>розчин для перитон.діалізу з концентрацією глюкози 1,35-1,5% в мішках подвійних по 2000 мл</t>
  </si>
  <si>
    <t>BS279/1-1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</si>
  <si>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09.08.2018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</si>
  <si>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09.08.2018 року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</si>
  <si>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23.08.2018 року </t>
    </r>
  </si>
  <si>
    <t>BS229/1-1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</si>
  <si>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06.09.2018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</si>
  <si>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06.09.2018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</si>
  <si>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13.09.2018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</si>
  <si>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13.09.2018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</si>
  <si>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30.09.2019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</si>
  <si>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30.09.2019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</si>
  <si>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11.10.2019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</si>
  <si>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11.10.2019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</si>
  <si>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18.10.2019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</si>
  <si>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18.10.2019 року </t>
    </r>
  </si>
  <si>
    <t>19G15G31</t>
  </si>
  <si>
    <t>19Е23G30</t>
  </si>
  <si>
    <t>19F20G30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</si>
  <si>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25.10.2019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</si>
  <si>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25.10.2019</t>
    </r>
  </si>
  <si>
    <t>19G22G31</t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</si>
  <si>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15.11.2019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</si>
  <si>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15.11.2019</t>
    </r>
  </si>
  <si>
    <t>H19D16031</t>
  </si>
  <si>
    <t>S19F12084</t>
  </si>
  <si>
    <t>19Н15G30</t>
  </si>
  <si>
    <t>H19G01010</t>
  </si>
  <si>
    <t>S19G17089</t>
  </si>
  <si>
    <t>19H30G40</t>
  </si>
  <si>
    <t>BS619/1-1</t>
  </si>
  <si>
    <t>BS1269/1-1</t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</si>
  <si>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30.11.2019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</si>
  <si>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30.11.2019 року </t>
    </r>
  </si>
  <si>
    <t xml:space="preserve">діаніл ПД 4 з вмістом глюкози 2,27% по 2000 мл </t>
  </si>
  <si>
    <r>
      <t>діаніл ПД 4 з вмістом глюкози</t>
    </r>
    <r>
      <rPr>
        <sz val="10"/>
        <rFont val="Arial Cyr"/>
        <charset val="204"/>
      </rPr>
      <t xml:space="preserve"> 1,36%, по </t>
    </r>
    <r>
      <rPr>
        <sz val="10"/>
        <color rgb="FFFF0000"/>
        <rFont val="Arial Cyr"/>
        <charset val="204"/>
      </rPr>
      <t xml:space="preserve">5000 </t>
    </r>
    <r>
      <rPr>
        <sz val="10"/>
        <rFont val="Arial Cyr"/>
        <charset val="204"/>
      </rPr>
      <t xml:space="preserve">мл        </t>
    </r>
  </si>
  <si>
    <r>
      <t xml:space="preserve"> станом</t>
    </r>
    <r>
      <rPr>
        <b/>
        <u/>
        <sz val="12"/>
        <color rgb="FFFF0000"/>
        <rFont val="Times New Roman"/>
        <family val="1"/>
        <charset val="204"/>
      </rPr>
      <t xml:space="preserve"> на 06.12.2019 року </t>
    </r>
  </si>
  <si>
    <r>
      <t xml:space="preserve">Залишок 
невикористаних 
препаратів </t>
    </r>
    <r>
      <rPr>
        <b/>
        <sz val="12"/>
        <color rgb="FFFF0000"/>
        <rFont val="Times New Roman"/>
        <family val="1"/>
        <charset val="204"/>
      </rPr>
      <t xml:space="preserve"> на 06.12.2019</t>
    </r>
  </si>
</sst>
</file>

<file path=xl/styles.xml><?xml version="1.0" encoding="utf-8"?>
<styleSheet xmlns="http://schemas.openxmlformats.org/spreadsheetml/2006/main">
  <numFmts count="2">
    <numFmt numFmtId="164" formatCode="dd\.mm\.yy;@"/>
    <numFmt numFmtId="165" formatCode="#,##0.00_₴"/>
  </numFmts>
  <fonts count="42">
    <font>
      <sz val="10"/>
      <name val="Arial Cyr"/>
      <charset val="204"/>
    </font>
    <font>
      <sz val="10"/>
      <name val="Arial Cyr"/>
      <charset val="204"/>
    </font>
    <font>
      <sz val="10"/>
      <color indexed="10"/>
      <name val="Arial Cyr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 CYR"/>
    </font>
    <font>
      <b/>
      <sz val="12"/>
      <name val="Times New Roman"/>
      <family val="1"/>
      <charset val="204"/>
    </font>
    <font>
      <b/>
      <i/>
      <sz val="8"/>
      <color indexed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sz val="14"/>
      <name val="Arial Cyr"/>
      <charset val="204"/>
    </font>
    <font>
      <sz val="14"/>
      <color rgb="FFFF0000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Arial Cyr"/>
      <charset val="204"/>
    </font>
    <font>
      <b/>
      <sz val="8"/>
      <name val="Times New Roman"/>
      <family val="1"/>
      <charset val="204"/>
    </font>
    <font>
      <b/>
      <sz val="12"/>
      <name val="Arial Cyr"/>
      <charset val="204"/>
    </font>
    <font>
      <b/>
      <sz val="12"/>
      <color rgb="FFFF0000"/>
      <name val="Times New Roman"/>
      <family val="1"/>
      <charset val="204"/>
    </font>
    <font>
      <u/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0"/>
      <color indexed="10"/>
      <name val="Times New Roman"/>
      <family val="1"/>
      <charset val="204"/>
    </font>
    <font>
      <b/>
      <sz val="10"/>
      <name val="Arial Cyr"/>
      <charset val="204"/>
    </font>
    <font>
      <i/>
      <sz val="8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sz val="12"/>
      <color theme="3" tint="0.39997558519241921"/>
      <name val="Times New Roman"/>
      <family val="1"/>
      <charset val="204"/>
    </font>
    <font>
      <b/>
      <u/>
      <sz val="12"/>
      <name val="Times New Roman"/>
      <family val="1"/>
      <charset val="204"/>
    </font>
    <font>
      <b/>
      <u/>
      <sz val="12"/>
      <color theme="3" tint="0.39997558519241921"/>
      <name val="Times New Roman"/>
      <family val="1"/>
      <charset val="204"/>
    </font>
    <font>
      <b/>
      <u/>
      <sz val="12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sz val="10"/>
      <color rgb="FFFF0000"/>
      <name val="Arial Cyr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75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/>
    <xf numFmtId="0" fontId="1" fillId="0" borderId="0" xfId="0" applyFont="1" applyFill="1"/>
    <xf numFmtId="0" fontId="5" fillId="0" borderId="0" xfId="0" applyFont="1" applyAlignment="1">
      <alignment wrapText="1"/>
    </xf>
    <xf numFmtId="0" fontId="1" fillId="0" borderId="0" xfId="0" applyFont="1" applyAlignment="1"/>
    <xf numFmtId="0" fontId="1" fillId="0" borderId="0" xfId="0" applyFont="1" applyAlignment="1">
      <alignment wrapText="1"/>
    </xf>
    <xf numFmtId="0" fontId="0" fillId="0" borderId="0" xfId="0" applyAlignment="1">
      <alignment horizontal="left"/>
    </xf>
    <xf numFmtId="0" fontId="3" fillId="0" borderId="0" xfId="0" applyFont="1"/>
    <xf numFmtId="2" fontId="0" fillId="0" borderId="0" xfId="0" applyNumberFormat="1"/>
    <xf numFmtId="0" fontId="3" fillId="0" borderId="0" xfId="0" applyFont="1" applyFill="1"/>
    <xf numFmtId="0" fontId="9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wrapText="1"/>
    </xf>
    <xf numFmtId="0" fontId="7" fillId="0" borderId="0" xfId="0" applyFont="1" applyBorder="1" applyAlignment="1">
      <alignment horizontal="center" wrapText="1"/>
    </xf>
    <xf numFmtId="0" fontId="0" fillId="0" borderId="0" xfId="0" applyBorder="1"/>
    <xf numFmtId="2" fontId="6" fillId="0" borderId="0" xfId="0" applyNumberFormat="1" applyFont="1" applyFill="1" applyBorder="1" applyAlignment="1"/>
    <xf numFmtId="164" fontId="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2" fontId="3" fillId="0" borderId="2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2" fontId="8" fillId="0" borderId="2" xfId="0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vertical="center"/>
    </xf>
    <xf numFmtId="0" fontId="6" fillId="0" borderId="0" xfId="0" applyFont="1" applyAlignment="1"/>
    <xf numFmtId="0" fontId="2" fillId="0" borderId="0" xfId="0" applyFont="1" applyAlignment="1"/>
    <xf numFmtId="0" fontId="8" fillId="0" borderId="0" xfId="0" applyFont="1"/>
    <xf numFmtId="0" fontId="2" fillId="0" borderId="0" xfId="0" applyFont="1" applyAlignment="1">
      <alignment horizontal="center" vertical="center"/>
    </xf>
    <xf numFmtId="0" fontId="4" fillId="0" borderId="0" xfId="0" applyFont="1"/>
    <xf numFmtId="0" fontId="4" fillId="0" borderId="0" xfId="0" applyFont="1" applyAlignment="1"/>
    <xf numFmtId="0" fontId="4" fillId="0" borderId="0" xfId="0" applyFont="1" applyAlignment="1">
      <alignment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0" xfId="0" applyFont="1" applyBorder="1"/>
    <xf numFmtId="0" fontId="11" fillId="0" borderId="0" xfId="0" applyFont="1" applyAlignment="1">
      <alignment wrapText="1"/>
    </xf>
    <xf numFmtId="0" fontId="0" fillId="3" borderId="2" xfId="0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Border="1"/>
    <xf numFmtId="0" fontId="6" fillId="0" borderId="2" xfId="0" applyNumberFormat="1" applyFont="1" applyFill="1" applyBorder="1" applyAlignment="1">
      <alignment horizontal="center" vertical="center" wrapText="1"/>
    </xf>
    <xf numFmtId="2" fontId="6" fillId="0" borderId="2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165" fontId="3" fillId="0" borderId="2" xfId="0" applyNumberFormat="1" applyFont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wrapText="1"/>
    </xf>
    <xf numFmtId="164" fontId="3" fillId="4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center" vertical="center"/>
    </xf>
    <xf numFmtId="2" fontId="3" fillId="4" borderId="2" xfId="0" applyNumberFormat="1" applyFont="1" applyFill="1" applyBorder="1" applyAlignment="1">
      <alignment horizontal="center" vertical="center"/>
    </xf>
    <xf numFmtId="165" fontId="3" fillId="4" borderId="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0" fillId="0" borderId="0" xfId="0" applyFill="1" applyAlignment="1">
      <alignment vertical="center"/>
    </xf>
    <xf numFmtId="0" fontId="0" fillId="0" borderId="0" xfId="0" applyFill="1"/>
    <xf numFmtId="0" fontId="3" fillId="4" borderId="2" xfId="0" applyFont="1" applyFill="1" applyBorder="1" applyAlignment="1">
      <alignment horizontal="left" vertical="top" wrapText="1"/>
    </xf>
    <xf numFmtId="165" fontId="6" fillId="0" borderId="2" xfId="0" applyNumberFormat="1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wrapText="1"/>
    </xf>
    <xf numFmtId="0" fontId="0" fillId="5" borderId="0" xfId="0" applyFill="1" applyBorder="1"/>
    <xf numFmtId="0" fontId="3" fillId="5" borderId="2" xfId="0" applyFont="1" applyFill="1" applyBorder="1" applyAlignment="1">
      <alignment horizontal="left" vertical="center" wrapText="1"/>
    </xf>
    <xf numFmtId="164" fontId="3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2" xfId="0" applyNumberFormat="1" applyFont="1" applyFill="1" applyBorder="1" applyAlignment="1">
      <alignment horizontal="center" vertical="center"/>
    </xf>
    <xf numFmtId="2" fontId="3" fillId="5" borderId="2" xfId="0" applyNumberFormat="1" applyFont="1" applyFill="1" applyBorder="1" applyAlignment="1">
      <alignment horizontal="center" vertical="center"/>
    </xf>
    <xf numFmtId="165" fontId="3" fillId="5" borderId="2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/>
    <xf numFmtId="0" fontId="10" fillId="0" borderId="4" xfId="0" applyFont="1" applyFill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wrapText="1"/>
    </xf>
    <xf numFmtId="0" fontId="0" fillId="6" borderId="0" xfId="0" applyFill="1" applyBorder="1"/>
    <xf numFmtId="0" fontId="3" fillId="6" borderId="2" xfId="0" applyFont="1" applyFill="1" applyBorder="1" applyAlignment="1">
      <alignment horizontal="left" vertical="center" wrapText="1"/>
    </xf>
    <xf numFmtId="164" fontId="3" fillId="6" borderId="2" xfId="0" applyNumberFormat="1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2" xfId="0" applyNumberFormat="1" applyFont="1" applyFill="1" applyBorder="1" applyAlignment="1">
      <alignment horizontal="center" vertical="center"/>
    </xf>
    <xf numFmtId="2" fontId="3" fillId="6" borderId="2" xfId="0" applyNumberFormat="1" applyFont="1" applyFill="1" applyBorder="1" applyAlignment="1">
      <alignment horizontal="center" vertical="center"/>
    </xf>
    <xf numFmtId="165" fontId="3" fillId="6" borderId="2" xfId="0" applyNumberFormat="1" applyFont="1" applyFill="1" applyBorder="1" applyAlignment="1">
      <alignment horizontal="center" vertical="center"/>
    </xf>
    <xf numFmtId="0" fontId="0" fillId="6" borderId="0" xfId="0" applyFill="1" applyAlignment="1">
      <alignment vertical="center"/>
    </xf>
    <xf numFmtId="0" fontId="0" fillId="6" borderId="0" xfId="0" applyFill="1"/>
    <xf numFmtId="0" fontId="3" fillId="0" borderId="2" xfId="0" applyFont="1" applyFill="1" applyBorder="1" applyAlignment="1">
      <alignment horizontal="left" vertical="top" wrapText="1"/>
    </xf>
    <xf numFmtId="2" fontId="15" fillId="0" borderId="0" xfId="0" applyNumberFormat="1" applyFont="1" applyBorder="1" applyAlignment="1">
      <alignment horizontal="center"/>
    </xf>
    <xf numFmtId="0" fontId="3" fillId="0" borderId="0" xfId="0" applyFont="1" applyBorder="1" applyAlignment="1">
      <alignment wrapText="1"/>
    </xf>
    <xf numFmtId="0" fontId="3" fillId="0" borderId="0" xfId="0" applyFont="1" applyBorder="1" applyAlignment="1">
      <alignment horizontal="center" wrapText="1"/>
    </xf>
    <xf numFmtId="0" fontId="0" fillId="0" borderId="0" xfId="0" applyFont="1"/>
    <xf numFmtId="0" fontId="6" fillId="0" borderId="0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4" fillId="0" borderId="2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Alignment="1">
      <alignment vertical="center"/>
    </xf>
    <xf numFmtId="0" fontId="0" fillId="0" borderId="0" xfId="0" applyFont="1" applyFill="1"/>
    <xf numFmtId="0" fontId="0" fillId="0" borderId="2" xfId="0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0" fontId="3" fillId="0" borderId="2" xfId="0" applyFont="1" applyFill="1" applyBorder="1" applyAlignment="1">
      <alignment vertical="center" wrapText="1"/>
    </xf>
    <xf numFmtId="164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wrapText="1"/>
    </xf>
    <xf numFmtId="0" fontId="0" fillId="4" borderId="0" xfId="0" applyFill="1" applyBorder="1"/>
    <xf numFmtId="0" fontId="0" fillId="4" borderId="0" xfId="0" applyFill="1" applyAlignment="1">
      <alignment vertical="center"/>
    </xf>
    <xf numFmtId="0" fontId="0" fillId="4" borderId="0" xfId="0" applyFill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9" fillId="8" borderId="0" xfId="0" applyFont="1" applyFill="1" applyBorder="1" applyAlignment="1">
      <alignment horizontal="center" wrapText="1"/>
    </xf>
    <xf numFmtId="0" fontId="0" fillId="8" borderId="0" xfId="0" applyFill="1" applyBorder="1"/>
    <xf numFmtId="0" fontId="0" fillId="8" borderId="0" xfId="0" applyFill="1" applyAlignment="1">
      <alignment vertical="center"/>
    </xf>
    <xf numFmtId="0" fontId="0" fillId="8" borderId="0" xfId="0" applyFill="1"/>
    <xf numFmtId="0" fontId="3" fillId="9" borderId="2" xfId="0" applyFont="1" applyFill="1" applyBorder="1" applyAlignment="1">
      <alignment horizontal="left" vertical="center" wrapText="1"/>
    </xf>
    <xf numFmtId="0" fontId="9" fillId="10" borderId="0" xfId="0" applyFont="1" applyFill="1" applyBorder="1" applyAlignment="1">
      <alignment horizontal="center" wrapText="1"/>
    </xf>
    <xf numFmtId="0" fontId="0" fillId="10" borderId="0" xfId="0" applyFill="1" applyBorder="1"/>
    <xf numFmtId="0" fontId="0" fillId="10" borderId="0" xfId="0" applyFill="1" applyAlignment="1">
      <alignment vertical="center"/>
    </xf>
    <xf numFmtId="0" fontId="0" fillId="10" borderId="0" xfId="0" applyFill="1"/>
    <xf numFmtId="0" fontId="3" fillId="11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3" fillId="12" borderId="2" xfId="0" applyFont="1" applyFill="1" applyBorder="1" applyAlignment="1">
      <alignment horizontal="left" vertical="center" wrapText="1"/>
    </xf>
    <xf numFmtId="0" fontId="3" fillId="8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3" fillId="13" borderId="2" xfId="0" applyFont="1" applyFill="1" applyBorder="1" applyAlignment="1">
      <alignment horizontal="left" vertical="center" wrapText="1"/>
    </xf>
    <xf numFmtId="0" fontId="19" fillId="0" borderId="2" xfId="0" applyNumberFormat="1" applyFont="1" applyFill="1" applyBorder="1" applyAlignment="1">
      <alignment horizontal="center" vertical="center"/>
    </xf>
    <xf numFmtId="2" fontId="19" fillId="0" borderId="2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2" fontId="0" fillId="0" borderId="0" xfId="0" applyNumberFormat="1" applyFont="1"/>
    <xf numFmtId="0" fontId="0" fillId="0" borderId="0" xfId="0" applyFont="1" applyAlignment="1">
      <alignment wrapText="1"/>
    </xf>
    <xf numFmtId="0" fontId="3" fillId="14" borderId="2" xfId="0" applyFont="1" applyFill="1" applyBorder="1" applyAlignment="1">
      <alignment horizontal="left" vertical="center" wrapText="1"/>
    </xf>
    <xf numFmtId="0" fontId="3" fillId="15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4" fontId="3" fillId="5" borderId="2" xfId="0" applyNumberFormat="1" applyFont="1" applyFill="1" applyBorder="1" applyAlignment="1">
      <alignment horizontal="center" vertical="center"/>
    </xf>
    <xf numFmtId="4" fontId="3" fillId="4" borderId="2" xfId="0" applyNumberFormat="1" applyFont="1" applyFill="1" applyBorder="1" applyAlignment="1">
      <alignment horizontal="center" vertical="center"/>
    </xf>
    <xf numFmtId="4" fontId="3" fillId="6" borderId="2" xfId="0" applyNumberFormat="1" applyFont="1" applyFill="1" applyBorder="1" applyAlignment="1">
      <alignment horizontal="center" vertical="center"/>
    </xf>
    <xf numFmtId="4" fontId="3" fillId="0" borderId="2" xfId="0" applyNumberFormat="1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 wrapText="1"/>
    </xf>
    <xf numFmtId="4" fontId="19" fillId="0" borderId="2" xfId="0" applyNumberFormat="1" applyFont="1" applyFill="1" applyBorder="1" applyAlignment="1">
      <alignment horizontal="center" vertical="center"/>
    </xf>
    <xf numFmtId="0" fontId="3" fillId="16" borderId="2" xfId="0" applyFont="1" applyFill="1" applyBorder="1" applyAlignment="1">
      <alignment horizontal="left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4" fontId="17" fillId="0" borderId="2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0" fontId="3" fillId="17" borderId="2" xfId="0" applyFont="1" applyFill="1" applyBorder="1" applyAlignment="1">
      <alignment horizontal="left" vertical="center" wrapText="1"/>
    </xf>
    <xf numFmtId="0" fontId="3" fillId="18" borderId="2" xfId="0" applyFont="1" applyFill="1" applyBorder="1" applyAlignment="1">
      <alignment horizontal="left" vertical="center" wrapText="1"/>
    </xf>
    <xf numFmtId="0" fontId="3" fillId="19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left"/>
    </xf>
    <xf numFmtId="0" fontId="3" fillId="20" borderId="2" xfId="0" applyFont="1" applyFill="1" applyBorder="1" applyAlignment="1">
      <alignment vertical="center" wrapText="1"/>
    </xf>
    <xf numFmtId="0" fontId="19" fillId="5" borderId="2" xfId="0" applyNumberFormat="1" applyFont="1" applyFill="1" applyBorder="1" applyAlignment="1">
      <alignment horizontal="center" vertical="center"/>
    </xf>
    <xf numFmtId="4" fontId="19" fillId="5" borderId="2" xfId="0" applyNumberFormat="1" applyFont="1" applyFill="1" applyBorder="1" applyAlignment="1">
      <alignment horizontal="center" vertical="center"/>
    </xf>
    <xf numFmtId="0" fontId="3" fillId="20" borderId="2" xfId="0" applyFont="1" applyFill="1" applyBorder="1" applyAlignment="1">
      <alignment horizontal="left" vertical="center" wrapText="1"/>
    </xf>
    <xf numFmtId="0" fontId="3" fillId="10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 wrapText="1"/>
    </xf>
    <xf numFmtId="4" fontId="3" fillId="8" borderId="2" xfId="0" applyNumberFormat="1" applyFont="1" applyFill="1" applyBorder="1" applyAlignment="1">
      <alignment horizontal="center" vertical="center"/>
    </xf>
    <xf numFmtId="4" fontId="6" fillId="8" borderId="2" xfId="0" applyNumberFormat="1" applyFont="1" applyFill="1" applyBorder="1" applyAlignment="1">
      <alignment horizontal="center" vertical="center" wrapText="1"/>
    </xf>
    <xf numFmtId="164" fontId="6" fillId="10" borderId="1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0" fillId="10" borderId="0" xfId="0" applyFill="1" applyAlignment="1">
      <alignment horizontal="center" vertical="center"/>
    </xf>
    <xf numFmtId="14" fontId="3" fillId="10" borderId="2" xfId="0" applyNumberFormat="1" applyFont="1" applyFill="1" applyBorder="1" applyAlignment="1">
      <alignment horizontal="center" vertical="center"/>
    </xf>
    <xf numFmtId="14" fontId="3" fillId="10" borderId="2" xfId="0" applyNumberFormat="1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vertical="center" wrapText="1"/>
    </xf>
    <xf numFmtId="0" fontId="20" fillId="10" borderId="5" xfId="0" applyFont="1" applyFill="1" applyBorder="1" applyAlignment="1">
      <alignment vertical="center" wrapText="1"/>
    </xf>
    <xf numFmtId="49" fontId="3" fillId="21" borderId="2" xfId="0" applyNumberFormat="1" applyFont="1" applyFill="1" applyBorder="1" applyAlignment="1">
      <alignment horizontal="center" vertical="center" wrapText="1"/>
    </xf>
    <xf numFmtId="0" fontId="0" fillId="21" borderId="0" xfId="0" applyFill="1" applyAlignment="1">
      <alignment horizontal="center" vertical="center"/>
    </xf>
    <xf numFmtId="0" fontId="22" fillId="8" borderId="1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3" fontId="3" fillId="0" borderId="2" xfId="0" applyNumberFormat="1" applyFont="1" applyFill="1" applyBorder="1" applyAlignment="1">
      <alignment horizontal="center" vertical="center"/>
    </xf>
    <xf numFmtId="3" fontId="3" fillId="8" borderId="2" xfId="0" applyNumberFormat="1" applyFont="1" applyFill="1" applyBorder="1" applyAlignment="1">
      <alignment horizontal="center" vertical="center"/>
    </xf>
    <xf numFmtId="3" fontId="6" fillId="8" borderId="2" xfId="0" applyNumberFormat="1" applyFont="1" applyFill="1" applyBorder="1" applyAlignment="1">
      <alignment horizontal="center" vertical="center" wrapText="1"/>
    </xf>
    <xf numFmtId="0" fontId="0" fillId="22" borderId="0" xfId="0" applyFont="1" applyFill="1"/>
    <xf numFmtId="4" fontId="3" fillId="22" borderId="2" xfId="0" applyNumberFormat="1" applyFont="1" applyFill="1" applyBorder="1" applyAlignment="1">
      <alignment horizontal="center" vertical="center"/>
    </xf>
    <xf numFmtId="0" fontId="6" fillId="22" borderId="2" xfId="0" applyNumberFormat="1" applyFont="1" applyFill="1" applyBorder="1" applyAlignment="1">
      <alignment horizontal="center" vertical="center" wrapText="1"/>
    </xf>
    <xf numFmtId="4" fontId="6" fillId="22" borderId="2" xfId="0" applyNumberFormat="1" applyFont="1" applyFill="1" applyBorder="1" applyAlignment="1">
      <alignment horizontal="center" vertical="center" wrapText="1"/>
    </xf>
    <xf numFmtId="0" fontId="0" fillId="23" borderId="0" xfId="0" applyFont="1" applyFill="1"/>
    <xf numFmtId="0" fontId="6" fillId="23" borderId="1" xfId="0" applyFont="1" applyFill="1" applyBorder="1" applyAlignment="1">
      <alignment horizontal="center" vertical="center"/>
    </xf>
    <xf numFmtId="4" fontId="3" fillId="23" borderId="2" xfId="0" applyNumberFormat="1" applyFont="1" applyFill="1" applyBorder="1" applyAlignment="1">
      <alignment horizontal="center" vertical="center"/>
    </xf>
    <xf numFmtId="3" fontId="6" fillId="23" borderId="2" xfId="0" applyNumberFormat="1" applyFont="1" applyFill="1" applyBorder="1" applyAlignment="1">
      <alignment horizontal="center" vertical="center" wrapText="1"/>
    </xf>
    <xf numFmtId="4" fontId="6" fillId="23" borderId="2" xfId="0" applyNumberFormat="1" applyFont="1" applyFill="1" applyBorder="1" applyAlignment="1">
      <alignment horizontal="center" vertical="center" wrapText="1"/>
    </xf>
    <xf numFmtId="0" fontId="3" fillId="23" borderId="0" xfId="0" applyFont="1" applyFill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left" vertical="center" wrapText="1"/>
    </xf>
    <xf numFmtId="0" fontId="8" fillId="10" borderId="2" xfId="0" applyFont="1" applyFill="1" applyBorder="1" applyAlignment="1">
      <alignment vertical="center" wrapText="1"/>
    </xf>
    <xf numFmtId="0" fontId="0" fillId="10" borderId="0" xfId="0" applyFont="1" applyFill="1" applyAlignment="1">
      <alignment horizontal="left"/>
    </xf>
    <xf numFmtId="0" fontId="3" fillId="22" borderId="0" xfId="0" applyFont="1" applyFill="1" applyAlignment="1">
      <alignment horizontal="center" vertical="center"/>
    </xf>
    <xf numFmtId="4" fontId="6" fillId="22" borderId="2" xfId="0" applyNumberFormat="1" applyFont="1" applyFill="1" applyBorder="1" applyAlignment="1">
      <alignment horizontal="center" vertical="center"/>
    </xf>
    <xf numFmtId="3" fontId="6" fillId="23" borderId="2" xfId="0" applyNumberFormat="1" applyFont="1" applyFill="1" applyBorder="1" applyAlignment="1">
      <alignment horizontal="center" vertical="center"/>
    </xf>
    <xf numFmtId="4" fontId="6" fillId="23" borderId="2" xfId="0" applyNumberFormat="1" applyFont="1" applyFill="1" applyBorder="1" applyAlignment="1">
      <alignment horizontal="center" vertical="center"/>
    </xf>
    <xf numFmtId="3" fontId="6" fillId="22" borderId="2" xfId="0" applyNumberFormat="1" applyFont="1" applyFill="1" applyBorder="1" applyAlignment="1">
      <alignment horizontal="center" vertical="center"/>
    </xf>
    <xf numFmtId="3" fontId="17" fillId="0" borderId="2" xfId="0" applyNumberFormat="1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center"/>
    </xf>
    <xf numFmtId="3" fontId="6" fillId="8" borderId="2" xfId="0" applyNumberFormat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20" fillId="10" borderId="5" xfId="0" applyFont="1" applyFill="1" applyBorder="1" applyAlignment="1">
      <alignment horizontal="center" vertical="center" wrapText="1"/>
    </xf>
    <xf numFmtId="3" fontId="3" fillId="10" borderId="2" xfId="0" applyNumberFormat="1" applyFont="1" applyFill="1" applyBorder="1" applyAlignment="1">
      <alignment horizontal="center" vertical="center" wrapText="1"/>
    </xf>
    <xf numFmtId="4" fontId="3" fillId="10" borderId="2" xfId="0" applyNumberFormat="1" applyFont="1" applyFill="1" applyBorder="1" applyAlignment="1">
      <alignment horizontal="center" vertical="center" wrapText="1"/>
    </xf>
    <xf numFmtId="0" fontId="0" fillId="10" borderId="0" xfId="0" applyFill="1" applyAlignment="1">
      <alignment horizontal="center"/>
    </xf>
    <xf numFmtId="0" fontId="0" fillId="10" borderId="2" xfId="0" applyFill="1" applyBorder="1"/>
    <xf numFmtId="2" fontId="6" fillId="10" borderId="2" xfId="0" applyNumberFormat="1" applyFont="1" applyFill="1" applyBorder="1" applyAlignment="1">
      <alignment vertical="center"/>
    </xf>
    <xf numFmtId="3" fontId="6" fillId="10" borderId="2" xfId="0" applyNumberFormat="1" applyFont="1" applyFill="1" applyBorder="1" applyAlignment="1">
      <alignment horizontal="center" vertical="center"/>
    </xf>
    <xf numFmtId="4" fontId="6" fillId="10" borderId="2" xfId="0" applyNumberFormat="1" applyFont="1" applyFill="1" applyBorder="1" applyAlignment="1">
      <alignment vertical="center"/>
    </xf>
    <xf numFmtId="4" fontId="6" fillId="10" borderId="2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>
      <alignment horizontal="center" vertical="center"/>
    </xf>
    <xf numFmtId="2" fontId="16" fillId="0" borderId="0" xfId="0" applyNumberFormat="1" applyFont="1"/>
    <xf numFmtId="0" fontId="26" fillId="0" borderId="0" xfId="0" applyFont="1" applyFill="1"/>
    <xf numFmtId="0" fontId="23" fillId="0" borderId="0" xfId="0" applyFont="1" applyFill="1" applyAlignment="1">
      <alignment horizontal="center" vertical="center"/>
    </xf>
    <xf numFmtId="0" fontId="3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8" fillId="0" borderId="0" xfId="0" applyFont="1" applyFill="1"/>
    <xf numFmtId="0" fontId="8" fillId="0" borderId="0" xfId="0" applyFont="1" applyFill="1" applyBorder="1"/>
    <xf numFmtId="0" fontId="28" fillId="0" borderId="0" xfId="0" applyFont="1" applyFill="1"/>
    <xf numFmtId="0" fontId="20" fillId="0" borderId="0" xfId="0" applyFont="1" applyFill="1"/>
    <xf numFmtId="0" fontId="6" fillId="23" borderId="0" xfId="0" applyFont="1" applyFill="1" applyAlignment="1">
      <alignment horizontal="center" vertical="center"/>
    </xf>
    <xf numFmtId="3" fontId="17" fillId="23" borderId="2" xfId="0" applyNumberFormat="1" applyFont="1" applyFill="1" applyBorder="1" applyAlignment="1">
      <alignment horizontal="center" vertical="center"/>
    </xf>
    <xf numFmtId="4" fontId="17" fillId="23" borderId="2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0" fontId="6" fillId="23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0" fontId="29" fillId="23" borderId="0" xfId="0" applyFont="1" applyFill="1"/>
    <xf numFmtId="0" fontId="6" fillId="22" borderId="2" xfId="0" applyNumberFormat="1" applyFont="1" applyFill="1" applyBorder="1" applyAlignment="1">
      <alignment horizontal="center" vertical="center"/>
    </xf>
    <xf numFmtId="0" fontId="29" fillId="22" borderId="0" xfId="0" applyFont="1" applyFill="1"/>
    <xf numFmtId="0" fontId="6" fillId="22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left" vertical="center" wrapText="1"/>
    </xf>
    <xf numFmtId="4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6" fillId="5" borderId="2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29" fillId="0" borderId="0" xfId="0" applyFont="1"/>
    <xf numFmtId="0" fontId="30" fillId="0" borderId="0" xfId="0" applyFont="1" applyFill="1" applyBorder="1" applyAlignment="1">
      <alignment horizontal="center" wrapText="1"/>
    </xf>
    <xf numFmtId="3" fontId="17" fillId="0" borderId="2" xfId="0" applyNumberFormat="1" applyFont="1" applyFill="1" applyBorder="1" applyAlignment="1">
      <alignment horizontal="center" vertical="center"/>
    </xf>
    <xf numFmtId="0" fontId="20" fillId="23" borderId="0" xfId="0" applyFont="1" applyFill="1" applyAlignment="1">
      <alignment horizontal="center"/>
    </xf>
    <xf numFmtId="3" fontId="17" fillId="8" borderId="2" xfId="0" applyNumberFormat="1" applyFont="1" applyFill="1" applyBorder="1" applyAlignment="1">
      <alignment horizontal="center" vertical="center" wrapText="1"/>
    </xf>
    <xf numFmtId="3" fontId="17" fillId="22" borderId="2" xfId="0" applyNumberFormat="1" applyFont="1" applyFill="1" applyBorder="1" applyAlignment="1">
      <alignment horizontal="center" vertical="center"/>
    </xf>
    <xf numFmtId="0" fontId="8" fillId="23" borderId="0" xfId="0" applyFont="1" applyFill="1"/>
    <xf numFmtId="0" fontId="20" fillId="23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0" fontId="31" fillId="0" borderId="0" xfId="0" applyFont="1" applyFill="1"/>
    <xf numFmtId="3" fontId="32" fillId="0" borderId="0" xfId="0" applyNumberFormat="1" applyFont="1" applyFill="1"/>
    <xf numFmtId="2" fontId="13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 vertical="center"/>
    </xf>
    <xf numFmtId="3" fontId="6" fillId="0" borderId="0" xfId="0" applyNumberFormat="1" applyFont="1" applyFill="1" applyBorder="1" applyAlignment="1">
      <alignment horizontal="center" vertical="center" wrapText="1"/>
    </xf>
    <xf numFmtId="4" fontId="6" fillId="0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32" fillId="0" borderId="0" xfId="0" applyFont="1" applyFill="1" applyAlignment="1"/>
    <xf numFmtId="0" fontId="32" fillId="0" borderId="0" xfId="0" applyFont="1" applyFill="1" applyAlignment="1">
      <alignment horizontal="center" vertical="center"/>
    </xf>
    <xf numFmtId="0" fontId="31" fillId="0" borderId="0" xfId="0" applyFont="1" applyFill="1" applyAlignment="1"/>
    <xf numFmtId="0" fontId="31" fillId="0" borderId="0" xfId="0" applyFont="1" applyFill="1" applyAlignment="1">
      <alignment horizontal="center"/>
    </xf>
    <xf numFmtId="0" fontId="32" fillId="0" borderId="0" xfId="0" applyFont="1" applyFill="1" applyBorder="1"/>
    <xf numFmtId="0" fontId="33" fillId="0" borderId="0" xfId="0" applyFont="1" applyFill="1" applyBorder="1" applyAlignment="1">
      <alignment horizontal="center"/>
    </xf>
    <xf numFmtId="0" fontId="32" fillId="0" borderId="0" xfId="0" applyFont="1" applyFill="1" applyAlignment="1">
      <alignment horizontal="center"/>
    </xf>
    <xf numFmtId="0" fontId="31" fillId="0" borderId="0" xfId="0" applyFont="1" applyFill="1" applyAlignment="1">
      <alignment horizontal="center" vertical="center"/>
    </xf>
    <xf numFmtId="0" fontId="32" fillId="0" borderId="0" xfId="0" applyFont="1" applyFill="1"/>
    <xf numFmtId="0" fontId="31" fillId="0" borderId="0" xfId="0" applyFont="1" applyFill="1" applyAlignment="1">
      <alignment horizontal="left"/>
    </xf>
    <xf numFmtId="164" fontId="31" fillId="0" borderId="0" xfId="0" applyNumberFormat="1" applyFont="1" applyFill="1" applyAlignment="1">
      <alignment horizontal="center" vertical="center"/>
    </xf>
    <xf numFmtId="4" fontId="31" fillId="0" borderId="0" xfId="0" applyNumberFormat="1" applyFont="1" applyFill="1"/>
    <xf numFmtId="0" fontId="31" fillId="0" borderId="0" xfId="0" applyFont="1" applyFill="1" applyBorder="1"/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wrapText="1"/>
    </xf>
    <xf numFmtId="0" fontId="31" fillId="0" borderId="0" xfId="0" applyFont="1" applyFill="1" applyAlignment="1">
      <alignment horizontal="center" wrapText="1"/>
    </xf>
    <xf numFmtId="0" fontId="31" fillId="0" borderId="0" xfId="0" applyFont="1" applyFill="1" applyAlignment="1">
      <alignment horizontal="center" vertical="center" wrapText="1"/>
    </xf>
    <xf numFmtId="164" fontId="31" fillId="0" borderId="0" xfId="0" applyNumberFormat="1" applyFont="1" applyFill="1" applyAlignment="1">
      <alignment horizontal="center" vertical="center" wrapText="1"/>
    </xf>
    <xf numFmtId="164" fontId="31" fillId="0" borderId="0" xfId="0" applyNumberFormat="1" applyFont="1" applyFill="1" applyAlignment="1">
      <alignment horizontal="left" vertical="center"/>
    </xf>
    <xf numFmtId="0" fontId="31" fillId="0" borderId="0" xfId="0" applyFont="1" applyFill="1" applyBorder="1" applyAlignment="1">
      <alignment horizontal="right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right" wrapText="1"/>
    </xf>
    <xf numFmtId="0" fontId="20" fillId="0" borderId="0" xfId="0" applyFont="1" applyFill="1" applyAlignment="1">
      <alignment horizontal="center"/>
    </xf>
    <xf numFmtId="0" fontId="8" fillId="0" borderId="0" xfId="0" applyFont="1" applyFill="1" applyAlignment="1">
      <alignment horizontal="left" vertical="center" wrapText="1"/>
    </xf>
    <xf numFmtId="0" fontId="10" fillId="0" borderId="0" xfId="0" applyFont="1" applyFill="1" applyAlignment="1">
      <alignment horizontal="center" vertical="center" wrapText="1"/>
    </xf>
    <xf numFmtId="164" fontId="3" fillId="0" borderId="0" xfId="0" applyNumberFormat="1" applyFont="1" applyFill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Fill="1" applyBorder="1" applyAlignment="1">
      <alignment horizontal="center" vertical="center"/>
    </xf>
    <xf numFmtId="2" fontId="16" fillId="0" borderId="0" xfId="0" applyNumberFormat="1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/>
    </xf>
    <xf numFmtId="164" fontId="8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0" fontId="26" fillId="0" borderId="0" xfId="0" applyFont="1" applyFill="1" applyAlignment="1"/>
    <xf numFmtId="0" fontId="26" fillId="0" borderId="0" xfId="0" applyFont="1" applyFill="1" applyAlignment="1">
      <alignment horizontal="center" vertical="center"/>
    </xf>
    <xf numFmtId="164" fontId="26" fillId="0" borderId="0" xfId="0" applyNumberFormat="1" applyFont="1" applyFill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wrapText="1"/>
    </xf>
    <xf numFmtId="0" fontId="26" fillId="0" borderId="0" xfId="0" applyFont="1" applyFill="1" applyAlignment="1">
      <alignment horizontal="center"/>
    </xf>
    <xf numFmtId="0" fontId="3" fillId="0" borderId="0" xfId="0" applyFont="1" applyFill="1" applyAlignment="1">
      <alignment wrapText="1"/>
    </xf>
    <xf numFmtId="0" fontId="6" fillId="0" borderId="0" xfId="0" applyFont="1" applyFill="1" applyAlignment="1">
      <alignment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" fontId="6" fillId="0" borderId="2" xfId="0" applyNumberFormat="1" applyFont="1" applyFill="1" applyBorder="1" applyAlignment="1">
      <alignment horizontal="center" vertical="center"/>
    </xf>
    <xf numFmtId="0" fontId="38" fillId="17" borderId="1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17" fillId="5" borderId="2" xfId="0" applyNumberFormat="1" applyFont="1" applyFill="1" applyBorder="1" applyAlignment="1">
      <alignment horizontal="center" vertical="center"/>
    </xf>
    <xf numFmtId="14" fontId="3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24" borderId="0" xfId="0" applyFill="1" applyBorder="1"/>
    <xf numFmtId="0" fontId="3" fillId="24" borderId="2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" fontId="17" fillId="0" borderId="2" xfId="0" applyNumberFormat="1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0" fillId="8" borderId="0" xfId="0" applyFont="1" applyFill="1"/>
    <xf numFmtId="0" fontId="6" fillId="8" borderId="0" xfId="0" applyFont="1" applyFill="1" applyAlignment="1">
      <alignment horizontal="left"/>
    </xf>
    <xf numFmtId="0" fontId="28" fillId="8" borderId="0" xfId="0" applyFont="1" applyFill="1" applyAlignment="1">
      <alignment horizontal="center" vertical="center"/>
    </xf>
    <xf numFmtId="0" fontId="6" fillId="8" borderId="0" xfId="0" applyFont="1" applyFill="1" applyAlignment="1">
      <alignment wrapText="1"/>
    </xf>
    <xf numFmtId="3" fontId="17" fillId="8" borderId="0" xfId="0" applyNumberFormat="1" applyFont="1" applyFill="1" applyBorder="1" applyAlignment="1">
      <alignment horizontal="center" vertical="center" wrapText="1"/>
    </xf>
    <xf numFmtId="0" fontId="32" fillId="8" borderId="0" xfId="0" applyFont="1" applyFill="1" applyAlignment="1"/>
    <xf numFmtId="3" fontId="32" fillId="8" borderId="0" xfId="0" applyNumberFormat="1" applyFont="1" applyFill="1"/>
    <xf numFmtId="0" fontId="32" fillId="8" borderId="0" xfId="0" applyFont="1" applyFill="1" applyAlignment="1">
      <alignment wrapText="1"/>
    </xf>
    <xf numFmtId="0" fontId="13" fillId="8" borderId="0" xfId="0" applyFont="1" applyFill="1" applyAlignment="1">
      <alignment vertical="center"/>
    </xf>
    <xf numFmtId="0" fontId="6" fillId="8" borderId="0" xfId="0" applyFont="1" applyFill="1"/>
    <xf numFmtId="0" fontId="29" fillId="8" borderId="0" xfId="0" applyFont="1" applyFill="1"/>
    <xf numFmtId="0" fontId="3" fillId="22" borderId="2" xfId="0" applyFont="1" applyFill="1" applyBorder="1" applyAlignment="1">
      <alignment horizontal="left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17" fillId="0" borderId="2" xfId="0" applyNumberFormat="1" applyFont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/>
    <xf numFmtId="0" fontId="11" fillId="4" borderId="0" xfId="0" applyFont="1" applyFill="1"/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left" vertical="center" wrapText="1"/>
    </xf>
    <xf numFmtId="0" fontId="3" fillId="10" borderId="2" xfId="0" applyFont="1" applyFill="1" applyBorder="1" applyAlignment="1">
      <alignment vertical="center" wrapText="1"/>
    </xf>
    <xf numFmtId="49" fontId="3" fillId="10" borderId="2" xfId="0" applyNumberFormat="1" applyFont="1" applyFill="1" applyBorder="1" applyAlignment="1">
      <alignment horizontal="center" vertical="center" wrapText="1"/>
    </xf>
    <xf numFmtId="164" fontId="3" fillId="10" borderId="2" xfId="0" applyNumberFormat="1" applyFont="1" applyFill="1" applyBorder="1" applyAlignment="1">
      <alignment horizontal="center" vertical="center"/>
    </xf>
    <xf numFmtId="0" fontId="3" fillId="10" borderId="2" xfId="0" applyNumberFormat="1" applyFont="1" applyFill="1" applyBorder="1" applyAlignment="1">
      <alignment horizontal="center" vertical="center"/>
    </xf>
    <xf numFmtId="4" fontId="3" fillId="10" borderId="2" xfId="0" applyNumberFormat="1" applyFont="1" applyFill="1" applyBorder="1" applyAlignment="1">
      <alignment horizontal="center" vertical="center"/>
    </xf>
    <xf numFmtId="3" fontId="3" fillId="10" borderId="2" xfId="0" applyNumberFormat="1" applyFont="1" applyFill="1" applyBorder="1" applyAlignment="1">
      <alignment horizontal="center" vertical="center"/>
    </xf>
    <xf numFmtId="164" fontId="3" fillId="10" borderId="2" xfId="0" applyNumberFormat="1" applyFont="1" applyFill="1" applyBorder="1" applyAlignment="1">
      <alignment horizontal="center" vertical="center" wrapText="1"/>
    </xf>
    <xf numFmtId="0" fontId="11" fillId="10" borderId="0" xfId="0" applyFont="1" applyFill="1"/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49" fontId="3" fillId="21" borderId="6" xfId="0" applyNumberFormat="1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14" fontId="3" fillId="10" borderId="4" xfId="0" applyNumberFormat="1" applyFont="1" applyFill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/>
    </xf>
    <xf numFmtId="0" fontId="39" fillId="25" borderId="4" xfId="0" applyFont="1" applyFill="1" applyBorder="1" applyAlignment="1">
      <alignment horizontal="left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39" fillId="25" borderId="2" xfId="0" applyFont="1" applyFill="1" applyBorder="1" applyAlignment="1">
      <alignment horizontal="left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2" fillId="10" borderId="2" xfId="0" applyFont="1" applyFill="1" applyBorder="1" applyAlignment="1">
      <alignment horizontal="center" vertical="center" wrapText="1"/>
    </xf>
    <xf numFmtId="0" fontId="22" fillId="8" borderId="2" xfId="0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3" fillId="26" borderId="2" xfId="0" applyNumberFormat="1" applyFont="1" applyFill="1" applyBorder="1" applyAlignment="1">
      <alignment horizontal="center" vertical="center" wrapText="1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2" fontId="6" fillId="0" borderId="3" xfId="0" applyNumberFormat="1" applyFont="1" applyFill="1" applyBorder="1" applyAlignment="1">
      <alignment horizontal="center"/>
    </xf>
    <xf numFmtId="2" fontId="6" fillId="0" borderId="6" xfId="0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2" fontId="13" fillId="0" borderId="3" xfId="0" applyNumberFormat="1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3" fillId="0" borderId="4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center"/>
    </xf>
    <xf numFmtId="0" fontId="22" fillId="10" borderId="3" xfId="0" applyFont="1" applyFill="1" applyBorder="1" applyAlignment="1">
      <alignment horizontal="center" vertical="center" wrapText="1"/>
    </xf>
    <xf numFmtId="0" fontId="22" fillId="10" borderId="6" xfId="0" applyFont="1" applyFill="1" applyBorder="1" applyAlignment="1">
      <alignment horizontal="center" vertical="center" wrapText="1"/>
    </xf>
    <xf numFmtId="0" fontId="22" fillId="10" borderId="4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9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22" fillId="8" borderId="2" xfId="0" applyFont="1" applyFill="1" applyBorder="1" applyAlignment="1">
      <alignment horizontal="center" vertical="center" wrapText="1"/>
    </xf>
    <xf numFmtId="0" fontId="22" fillId="21" borderId="1" xfId="0" applyFont="1" applyFill="1" applyBorder="1" applyAlignment="1">
      <alignment horizontal="center" vertical="center" wrapText="1"/>
    </xf>
    <xf numFmtId="0" fontId="22" fillId="21" borderId="9" xfId="0" applyFont="1" applyFill="1" applyBorder="1" applyAlignment="1">
      <alignment horizontal="center" vertical="center" wrapText="1"/>
    </xf>
    <xf numFmtId="0" fontId="22" fillId="21" borderId="5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6" fillId="23" borderId="2" xfId="0" applyFont="1" applyFill="1" applyBorder="1" applyAlignment="1">
      <alignment horizontal="center" vertical="top"/>
    </xf>
    <xf numFmtId="0" fontId="6" fillId="22" borderId="10" xfId="0" applyFont="1" applyFill="1" applyBorder="1" applyAlignment="1">
      <alignment horizontal="center" vertical="center" wrapText="1"/>
    </xf>
    <xf numFmtId="0" fontId="6" fillId="22" borderId="7" xfId="0" applyFont="1" applyFill="1" applyBorder="1" applyAlignment="1">
      <alignment horizontal="center" vertical="center" wrapText="1"/>
    </xf>
    <xf numFmtId="0" fontId="6" fillId="22" borderId="11" xfId="0" applyFont="1" applyFill="1" applyBorder="1" applyAlignment="1">
      <alignment horizontal="center" vertical="center" wrapText="1"/>
    </xf>
    <xf numFmtId="0" fontId="6" fillId="22" borderId="8" xfId="0" applyFont="1" applyFill="1" applyBorder="1" applyAlignment="1">
      <alignment horizontal="center" vertical="center" wrapText="1"/>
    </xf>
    <xf numFmtId="0" fontId="6" fillId="23" borderId="10" xfId="0" applyFont="1" applyFill="1" applyBorder="1" applyAlignment="1">
      <alignment horizontal="center" vertical="center" wrapText="1"/>
    </xf>
    <xf numFmtId="0" fontId="6" fillId="23" borderId="7" xfId="0" applyFont="1" applyFill="1" applyBorder="1" applyAlignment="1">
      <alignment horizontal="center" vertical="center" wrapText="1"/>
    </xf>
    <xf numFmtId="0" fontId="6" fillId="23" borderId="11" xfId="0" applyFont="1" applyFill="1" applyBorder="1" applyAlignment="1">
      <alignment horizontal="center" vertical="center" wrapText="1"/>
    </xf>
    <xf numFmtId="0" fontId="6" fillId="23" borderId="8" xfId="0" applyFont="1" applyFill="1" applyBorder="1" applyAlignment="1">
      <alignment horizontal="center" vertical="center" wrapText="1"/>
    </xf>
    <xf numFmtId="0" fontId="6" fillId="10" borderId="10" xfId="0" applyFont="1" applyFill="1" applyBorder="1" applyAlignment="1">
      <alignment horizontal="center" vertical="center" wrapText="1"/>
    </xf>
    <xf numFmtId="0" fontId="6" fillId="10" borderId="7" xfId="0" applyFont="1" applyFill="1" applyBorder="1" applyAlignment="1">
      <alignment horizontal="center" vertical="center" wrapText="1"/>
    </xf>
    <xf numFmtId="0" fontId="6" fillId="10" borderId="11" xfId="0" applyFont="1" applyFill="1" applyBorder="1" applyAlignment="1">
      <alignment horizontal="center" vertical="center" wrapText="1"/>
    </xf>
    <xf numFmtId="0" fontId="6" fillId="10" borderId="8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31" fillId="0" borderId="0" xfId="0" applyFont="1" applyFill="1" applyAlignment="1">
      <alignment horizontal="left" vertical="center"/>
    </xf>
    <xf numFmtId="0" fontId="6" fillId="22" borderId="2" xfId="0" applyFont="1" applyFill="1" applyBorder="1" applyAlignment="1">
      <alignment horizontal="center" vertical="center"/>
    </xf>
    <xf numFmtId="0" fontId="6" fillId="23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52"/>
  <sheetViews>
    <sheetView view="pageBreakPreview" topLeftCell="C40" zoomScale="85" zoomScaleSheetLayoutView="85" workbookViewId="0">
      <selection activeCell="R9" sqref="R9"/>
    </sheetView>
  </sheetViews>
  <sheetFormatPr defaultRowHeight="12.75"/>
  <cols>
    <col min="1" max="2" width="0" hidden="1" customWidth="1"/>
    <col min="4" max="4" width="21.85546875" customWidth="1"/>
    <col min="5" max="5" width="9" style="14" customWidth="1"/>
    <col min="6" max="6" width="35.28515625" style="8" customWidth="1"/>
    <col min="7" max="7" width="11.7109375" style="107" customWidth="1"/>
    <col min="8" max="8" width="7.7109375" customWidth="1"/>
    <col min="9" max="9" width="11.140625" customWidth="1"/>
    <col min="10" max="10" width="10.28515625" customWidth="1"/>
    <col min="11" max="11" width="13.28515625" customWidth="1"/>
    <col min="12" max="12" width="14.140625" customWidth="1"/>
    <col min="13" max="13" width="11.85546875" customWidth="1"/>
    <col min="14" max="14" width="15" customWidth="1"/>
    <col min="15" max="15" width="11.7109375" customWidth="1"/>
    <col min="16" max="16" width="15.5703125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</row>
    <row r="4" spans="1:16" s="1" customFormat="1">
      <c r="E4" s="15"/>
      <c r="F4" s="2"/>
      <c r="G4" s="105"/>
      <c r="J4" s="30"/>
      <c r="M4" s="30" t="s">
        <v>21</v>
      </c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49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31"/>
      <c r="N14" s="31"/>
      <c r="O14" s="31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1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37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23">
        <v>2</v>
      </c>
      <c r="F18" s="122">
        <v>3</v>
      </c>
      <c r="G18" s="106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ht="22.5" customHeight="1">
      <c r="A19" s="18" t="s">
        <v>8</v>
      </c>
      <c r="B19" s="19">
        <v>1</v>
      </c>
      <c r="C19" s="19"/>
      <c r="D19" s="41" t="s">
        <v>24</v>
      </c>
      <c r="E19" s="50">
        <v>2301400</v>
      </c>
      <c r="F19" s="51" t="s">
        <v>9</v>
      </c>
      <c r="G19" s="21">
        <v>41255</v>
      </c>
      <c r="H19" s="22">
        <v>1012</v>
      </c>
      <c r="I19" s="35">
        <v>3</v>
      </c>
      <c r="J19" s="24">
        <v>39.120000000000005</v>
      </c>
      <c r="K19" s="36"/>
      <c r="L19" s="52"/>
      <c r="M19" s="23">
        <v>3</v>
      </c>
      <c r="N19" s="24">
        <v>39.119999999999997</v>
      </c>
      <c r="O19" s="37">
        <f>5-2-3</f>
        <v>0</v>
      </c>
      <c r="P19" s="24">
        <f>J19+L19-N19</f>
        <v>0</v>
      </c>
      <c r="Q19" s="25"/>
      <c r="R19" s="25"/>
    </row>
    <row r="20" spans="1:18" s="74" customFormat="1" ht="22.5">
      <c r="A20" s="65" t="s">
        <v>10</v>
      </c>
      <c r="B20" s="66">
        <v>9</v>
      </c>
      <c r="C20" s="60"/>
      <c r="D20" s="79" t="s">
        <v>23</v>
      </c>
      <c r="E20" s="75">
        <v>2301400</v>
      </c>
      <c r="F20" s="67" t="s">
        <v>9</v>
      </c>
      <c r="G20" s="68">
        <v>41974</v>
      </c>
      <c r="H20" s="69">
        <v>907</v>
      </c>
      <c r="I20" s="70">
        <v>6</v>
      </c>
      <c r="J20" s="71">
        <v>169.84</v>
      </c>
      <c r="K20" s="70"/>
      <c r="L20" s="72"/>
      <c r="M20" s="70"/>
      <c r="N20" s="71"/>
      <c r="O20" s="70">
        <f t="shared" ref="O20:P35" si="0">I20+K20-M20</f>
        <v>6</v>
      </c>
      <c r="P20" s="71">
        <f t="shared" si="0"/>
        <v>169.84</v>
      </c>
      <c r="Q20" s="73"/>
      <c r="R20" s="73"/>
    </row>
    <row r="21" spans="1:18" s="103" customFormat="1" ht="22.5" customHeight="1">
      <c r="A21" s="59"/>
      <c r="B21" s="101"/>
      <c r="C21" s="101"/>
      <c r="D21" s="104" t="s">
        <v>27</v>
      </c>
      <c r="E21" s="75">
        <v>2301400</v>
      </c>
      <c r="F21" s="51" t="s">
        <v>28</v>
      </c>
      <c r="G21" s="76">
        <v>42347</v>
      </c>
      <c r="H21" s="22">
        <v>833</v>
      </c>
      <c r="I21" s="35">
        <v>14</v>
      </c>
      <c r="J21" s="77">
        <v>714.98</v>
      </c>
      <c r="K21" s="35"/>
      <c r="L21" s="78"/>
      <c r="M21" s="35">
        <v>14</v>
      </c>
      <c r="N21" s="77">
        <v>714.98</v>
      </c>
      <c r="O21" s="35">
        <f t="shared" si="0"/>
        <v>0</v>
      </c>
      <c r="P21" s="77">
        <f t="shared" si="0"/>
        <v>0</v>
      </c>
      <c r="Q21" s="102"/>
      <c r="R21" s="102"/>
    </row>
    <row r="22" spans="1:18" s="119" customFormat="1" ht="34.5" customHeight="1">
      <c r="A22" s="116"/>
      <c r="B22" s="117"/>
      <c r="C22" s="60"/>
      <c r="D22" s="79" t="s">
        <v>27</v>
      </c>
      <c r="E22" s="75">
        <v>2301400</v>
      </c>
      <c r="F22" s="53" t="s">
        <v>31</v>
      </c>
      <c r="G22" s="54">
        <v>42347</v>
      </c>
      <c r="H22" s="55">
        <v>833</v>
      </c>
      <c r="I22" s="56">
        <v>1</v>
      </c>
      <c r="J22" s="57">
        <v>1026.1600000000001</v>
      </c>
      <c r="K22" s="56"/>
      <c r="L22" s="58"/>
      <c r="M22" s="56"/>
      <c r="N22" s="57"/>
      <c r="O22" s="56">
        <f t="shared" si="0"/>
        <v>1</v>
      </c>
      <c r="P22" s="57">
        <f t="shared" si="0"/>
        <v>1026.1600000000001</v>
      </c>
      <c r="Q22" s="118"/>
      <c r="R22" s="118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82" t="s">
        <v>31</v>
      </c>
      <c r="G23" s="83">
        <v>42647</v>
      </c>
      <c r="H23" s="84">
        <v>1034</v>
      </c>
      <c r="I23" s="85">
        <v>1</v>
      </c>
      <c r="J23" s="86">
        <v>1026.1600000000001</v>
      </c>
      <c r="K23" s="85"/>
      <c r="L23" s="87"/>
      <c r="M23" s="85"/>
      <c r="N23" s="86"/>
      <c r="O23" s="85">
        <f t="shared" si="0"/>
        <v>1</v>
      </c>
      <c r="P23" s="86">
        <f t="shared" si="0"/>
        <v>1026.1600000000001</v>
      </c>
      <c r="Q23" s="88"/>
      <c r="R23" s="88"/>
    </row>
    <row r="24" spans="1:18" s="62" customFormat="1" ht="15.75">
      <c r="A24" s="59"/>
      <c r="B24" s="60"/>
      <c r="C24" s="60"/>
      <c r="D24" s="79" t="s">
        <v>27</v>
      </c>
      <c r="E24" s="75">
        <v>2301400</v>
      </c>
      <c r="F24" s="53" t="s">
        <v>29</v>
      </c>
      <c r="G24" s="54">
        <v>42347</v>
      </c>
      <c r="H24" s="55">
        <v>833</v>
      </c>
      <c r="I24" s="56">
        <v>1</v>
      </c>
      <c r="J24" s="57">
        <v>2094.4</v>
      </c>
      <c r="K24" s="56"/>
      <c r="L24" s="58"/>
      <c r="M24" s="56"/>
      <c r="N24" s="57"/>
      <c r="O24" s="56">
        <f t="shared" si="0"/>
        <v>1</v>
      </c>
      <c r="P24" s="57">
        <f t="shared" si="0"/>
        <v>2094.4</v>
      </c>
      <c r="Q24" s="61"/>
      <c r="R24" s="61"/>
    </row>
    <row r="25" spans="1:18" s="89" customFormat="1" ht="37.5" customHeight="1">
      <c r="A25" s="80"/>
      <c r="B25" s="81"/>
      <c r="C25" s="60"/>
      <c r="D25" s="100" t="s">
        <v>36</v>
      </c>
      <c r="E25" s="75">
        <v>2301400</v>
      </c>
      <c r="F25" s="82" t="s">
        <v>29</v>
      </c>
      <c r="G25" s="83">
        <v>42647</v>
      </c>
      <c r="H25" s="84">
        <v>1034</v>
      </c>
      <c r="I25" s="85">
        <v>1</v>
      </c>
      <c r="J25" s="86">
        <v>2094.4</v>
      </c>
      <c r="K25" s="85"/>
      <c r="L25" s="87"/>
      <c r="M25" s="85"/>
      <c r="N25" s="86"/>
      <c r="O25" s="85">
        <f t="shared" si="0"/>
        <v>1</v>
      </c>
      <c r="P25" s="86">
        <f t="shared" si="0"/>
        <v>2094.4</v>
      </c>
      <c r="Q25" s="88"/>
      <c r="R25" s="88"/>
    </row>
    <row r="26" spans="1:18" s="62" customFormat="1" ht="33.75">
      <c r="A26" s="59"/>
      <c r="B26" s="60"/>
      <c r="C26" s="60"/>
      <c r="D26" s="100" t="s">
        <v>36</v>
      </c>
      <c r="E26" s="75">
        <v>2301400</v>
      </c>
      <c r="F26" s="51" t="s">
        <v>30</v>
      </c>
      <c r="G26" s="76">
        <v>42647</v>
      </c>
      <c r="H26" s="22">
        <v>1034</v>
      </c>
      <c r="I26" s="35">
        <v>62</v>
      </c>
      <c r="J26" s="77">
        <v>15831.08</v>
      </c>
      <c r="K26" s="35"/>
      <c r="L26" s="78"/>
      <c r="M26" s="35">
        <v>62</v>
      </c>
      <c r="N26" s="77">
        <v>15831.08</v>
      </c>
      <c r="O26" s="35">
        <f t="shared" si="0"/>
        <v>0</v>
      </c>
      <c r="P26" s="77">
        <f t="shared" si="0"/>
        <v>0</v>
      </c>
      <c r="Q26" s="61"/>
      <c r="R26" s="61"/>
    </row>
    <row r="27" spans="1:18" s="62" customFormat="1" ht="31.5">
      <c r="A27" s="59"/>
      <c r="B27" s="60"/>
      <c r="C27" s="60"/>
      <c r="D27" s="79" t="s">
        <v>27</v>
      </c>
      <c r="E27" s="75">
        <v>2301400</v>
      </c>
      <c r="F27" s="63" t="s">
        <v>32</v>
      </c>
      <c r="G27" s="54">
        <v>42347</v>
      </c>
      <c r="H27" s="55">
        <v>833</v>
      </c>
      <c r="I27" s="56">
        <v>12</v>
      </c>
      <c r="J27" s="57">
        <v>9442.7999999999993</v>
      </c>
      <c r="K27" s="56"/>
      <c r="L27" s="58"/>
      <c r="M27" s="56">
        <v>6</v>
      </c>
      <c r="N27" s="57">
        <v>4721.3999999999996</v>
      </c>
      <c r="O27" s="56">
        <f t="shared" si="0"/>
        <v>6</v>
      </c>
      <c r="P27" s="57">
        <f t="shared" si="0"/>
        <v>4721.3999999999996</v>
      </c>
      <c r="Q27" s="61"/>
      <c r="R27" s="61"/>
    </row>
    <row r="28" spans="1:18" s="62" customFormat="1" ht="35.25" customHeight="1">
      <c r="A28" s="59"/>
      <c r="B28" s="60"/>
      <c r="C28" s="60"/>
      <c r="D28" s="100" t="s">
        <v>36</v>
      </c>
      <c r="E28" s="75">
        <v>2301400</v>
      </c>
      <c r="F28" s="90" t="s">
        <v>32</v>
      </c>
      <c r="G28" s="76">
        <v>42647</v>
      </c>
      <c r="H28" s="22">
        <v>1034</v>
      </c>
      <c r="I28" s="35">
        <v>1</v>
      </c>
      <c r="J28" s="77">
        <v>786.9</v>
      </c>
      <c r="K28" s="35"/>
      <c r="L28" s="78"/>
      <c r="M28" s="35">
        <v>1</v>
      </c>
      <c r="N28" s="77">
        <v>786.9</v>
      </c>
      <c r="O28" s="35">
        <f t="shared" si="0"/>
        <v>0</v>
      </c>
      <c r="P28" s="77">
        <f t="shared" si="0"/>
        <v>0</v>
      </c>
      <c r="Q28" s="61"/>
      <c r="R28" s="61"/>
    </row>
    <row r="29" spans="1:18" s="62" customFormat="1" ht="35.25" customHeight="1">
      <c r="A29" s="59"/>
      <c r="B29" s="60"/>
      <c r="C29" s="60"/>
      <c r="D29" s="79" t="s">
        <v>24</v>
      </c>
      <c r="E29" s="75">
        <v>2301400</v>
      </c>
      <c r="F29" s="113" t="s">
        <v>40</v>
      </c>
      <c r="G29" s="114">
        <v>42976</v>
      </c>
      <c r="H29" s="115">
        <v>977</v>
      </c>
      <c r="I29" s="35">
        <v>0</v>
      </c>
      <c r="J29" s="77">
        <v>0</v>
      </c>
      <c r="K29" s="35">
        <v>4</v>
      </c>
      <c r="L29" s="78">
        <v>8081.6</v>
      </c>
      <c r="M29" s="35">
        <v>0</v>
      </c>
      <c r="N29" s="77">
        <v>0</v>
      </c>
      <c r="O29" s="35">
        <f t="shared" si="0"/>
        <v>4</v>
      </c>
      <c r="P29" s="77">
        <f t="shared" si="0"/>
        <v>8081.6</v>
      </c>
      <c r="Q29" s="61"/>
      <c r="R29" s="61"/>
    </row>
    <row r="30" spans="1:18" s="62" customFormat="1" ht="24.75" customHeight="1">
      <c r="A30" s="59"/>
      <c r="B30" s="60"/>
      <c r="C30" s="60"/>
      <c r="D30" s="79" t="s">
        <v>24</v>
      </c>
      <c r="E30" s="75">
        <v>2301400</v>
      </c>
      <c r="F30" s="51" t="s">
        <v>41</v>
      </c>
      <c r="G30" s="114">
        <v>43046</v>
      </c>
      <c r="H30" s="115">
        <v>1379</v>
      </c>
      <c r="I30" s="35">
        <v>0</v>
      </c>
      <c r="J30" s="77">
        <v>0</v>
      </c>
      <c r="K30" s="35">
        <v>180</v>
      </c>
      <c r="L30" s="78">
        <v>25070.400000000001</v>
      </c>
      <c r="M30" s="35">
        <v>0</v>
      </c>
      <c r="N30" s="77">
        <v>0</v>
      </c>
      <c r="O30" s="35">
        <f t="shared" si="0"/>
        <v>180</v>
      </c>
      <c r="P30" s="77">
        <f t="shared" si="0"/>
        <v>25070.400000000001</v>
      </c>
      <c r="Q30" s="61"/>
      <c r="R30" s="61"/>
    </row>
    <row r="31" spans="1:18" s="62" customFormat="1" ht="47.25">
      <c r="A31" s="59"/>
      <c r="B31" s="60"/>
      <c r="C31" s="60"/>
      <c r="D31" s="79" t="s">
        <v>24</v>
      </c>
      <c r="E31" s="75">
        <v>2301400</v>
      </c>
      <c r="F31" s="51" t="s">
        <v>42</v>
      </c>
      <c r="G31" s="114">
        <v>43046</v>
      </c>
      <c r="H31" s="115">
        <v>1379</v>
      </c>
      <c r="I31" s="35">
        <v>0</v>
      </c>
      <c r="J31" s="77">
        <v>0</v>
      </c>
      <c r="K31" s="35">
        <v>180</v>
      </c>
      <c r="L31" s="78">
        <v>94469.4</v>
      </c>
      <c r="M31" s="35">
        <v>0</v>
      </c>
      <c r="N31" s="77">
        <v>0</v>
      </c>
      <c r="O31" s="35">
        <f t="shared" si="0"/>
        <v>180</v>
      </c>
      <c r="P31" s="77">
        <f t="shared" si="0"/>
        <v>94469.4</v>
      </c>
      <c r="Q31" s="61"/>
      <c r="R31" s="61"/>
    </row>
    <row r="32" spans="1:18" s="62" customFormat="1" ht="35.25" customHeight="1">
      <c r="A32" s="59"/>
      <c r="B32" s="60"/>
      <c r="C32" s="60"/>
      <c r="D32" s="79" t="s">
        <v>24</v>
      </c>
      <c r="E32" s="75">
        <v>2301400</v>
      </c>
      <c r="F32" s="53" t="s">
        <v>44</v>
      </c>
      <c r="G32" s="114">
        <v>43066</v>
      </c>
      <c r="H32" s="115">
        <v>1476</v>
      </c>
      <c r="I32" s="35">
        <v>0</v>
      </c>
      <c r="J32" s="77">
        <v>0</v>
      </c>
      <c r="K32" s="35">
        <v>5</v>
      </c>
      <c r="L32" s="78">
        <v>1010.9</v>
      </c>
      <c r="M32" s="35">
        <v>0</v>
      </c>
      <c r="N32" s="77">
        <v>0</v>
      </c>
      <c r="O32" s="35">
        <f t="shared" si="0"/>
        <v>5</v>
      </c>
      <c r="P32" s="77">
        <f t="shared" si="0"/>
        <v>1010.9</v>
      </c>
      <c r="Q32" s="61"/>
      <c r="R32" s="61"/>
    </row>
    <row r="33" spans="1:18" s="62" customFormat="1" ht="35.25" customHeight="1">
      <c r="A33" s="59"/>
      <c r="B33" s="60"/>
      <c r="C33" s="60"/>
      <c r="D33" s="79" t="s">
        <v>24</v>
      </c>
      <c r="E33" s="75">
        <v>2301400</v>
      </c>
      <c r="F33" s="53" t="s">
        <v>44</v>
      </c>
      <c r="G33" s="114">
        <v>43061</v>
      </c>
      <c r="H33" s="115"/>
      <c r="I33" s="35">
        <v>0</v>
      </c>
      <c r="J33" s="77">
        <v>0</v>
      </c>
      <c r="K33" s="35">
        <v>205</v>
      </c>
      <c r="L33" s="78">
        <v>41446.9</v>
      </c>
      <c r="M33" s="35">
        <v>0</v>
      </c>
      <c r="N33" s="77">
        <v>0</v>
      </c>
      <c r="O33" s="35">
        <f t="shared" si="0"/>
        <v>205</v>
      </c>
      <c r="P33" s="77">
        <f t="shared" si="0"/>
        <v>41446.9</v>
      </c>
      <c r="Q33" s="61"/>
      <c r="R33" s="61"/>
    </row>
    <row r="34" spans="1:18" s="62" customFormat="1" ht="35.25" customHeight="1">
      <c r="A34" s="59"/>
      <c r="B34" s="60"/>
      <c r="C34" s="60"/>
      <c r="D34" s="79" t="s">
        <v>24</v>
      </c>
      <c r="E34" s="75">
        <v>2301400</v>
      </c>
      <c r="F34" s="67" t="s">
        <v>45</v>
      </c>
      <c r="G34" s="114">
        <v>43046</v>
      </c>
      <c r="H34" s="115">
        <v>1379</v>
      </c>
      <c r="I34" s="35">
        <v>0</v>
      </c>
      <c r="J34" s="77">
        <v>0</v>
      </c>
      <c r="K34" s="35">
        <v>44</v>
      </c>
      <c r="L34" s="78">
        <v>13134</v>
      </c>
      <c r="M34" s="35">
        <v>0</v>
      </c>
      <c r="N34" s="77">
        <v>0</v>
      </c>
      <c r="O34" s="35">
        <f t="shared" si="0"/>
        <v>44</v>
      </c>
      <c r="P34" s="77">
        <f t="shared" si="0"/>
        <v>13134</v>
      </c>
      <c r="Q34" s="61"/>
      <c r="R34" s="61"/>
    </row>
    <row r="35" spans="1:18" s="62" customFormat="1" ht="35.25" customHeight="1">
      <c r="A35" s="59"/>
      <c r="B35" s="60"/>
      <c r="C35" s="60"/>
      <c r="D35" s="79" t="s">
        <v>24</v>
      </c>
      <c r="E35" s="75">
        <v>2301400</v>
      </c>
      <c r="F35" s="67" t="s">
        <v>45</v>
      </c>
      <c r="G35" s="114">
        <v>43066</v>
      </c>
      <c r="H35" s="115">
        <v>1476</v>
      </c>
      <c r="I35" s="35">
        <v>0</v>
      </c>
      <c r="J35" s="77">
        <v>0</v>
      </c>
      <c r="K35" s="35">
        <v>6</v>
      </c>
      <c r="L35" s="78">
        <v>1791</v>
      </c>
      <c r="M35" s="35">
        <v>0</v>
      </c>
      <c r="N35" s="77">
        <v>0</v>
      </c>
      <c r="O35" s="35">
        <f t="shared" si="0"/>
        <v>6</v>
      </c>
      <c r="P35" s="77">
        <f t="shared" si="0"/>
        <v>1791</v>
      </c>
      <c r="Q35" s="61"/>
      <c r="R35" s="61"/>
    </row>
    <row r="36" spans="1:18" s="62" customFormat="1" ht="35.25" customHeight="1">
      <c r="A36" s="59"/>
      <c r="B36" s="60"/>
      <c r="C36" s="60"/>
      <c r="D36" s="79" t="s">
        <v>24</v>
      </c>
      <c r="E36" s="75">
        <v>2301400</v>
      </c>
      <c r="F36" s="67" t="s">
        <v>45</v>
      </c>
      <c r="G36" s="114">
        <v>43061</v>
      </c>
      <c r="H36" s="115"/>
      <c r="I36" s="35">
        <v>0</v>
      </c>
      <c r="J36" s="77">
        <v>0</v>
      </c>
      <c r="K36" s="35">
        <v>36</v>
      </c>
      <c r="L36" s="78">
        <v>10746</v>
      </c>
      <c r="M36" s="35">
        <v>0</v>
      </c>
      <c r="N36" s="77">
        <v>0</v>
      </c>
      <c r="O36" s="35">
        <f t="shared" ref="O36:P43" si="1">I36+K36-M36</f>
        <v>36</v>
      </c>
      <c r="P36" s="77">
        <f t="shared" si="1"/>
        <v>10746</v>
      </c>
      <c r="Q36" s="61"/>
      <c r="R36" s="61"/>
    </row>
    <row r="37" spans="1:18" s="62" customFormat="1" ht="35.25" customHeight="1">
      <c r="A37" s="59"/>
      <c r="B37" s="60"/>
      <c r="C37" s="60"/>
      <c r="D37" s="79" t="s">
        <v>24</v>
      </c>
      <c r="E37" s="75">
        <v>2301400</v>
      </c>
      <c r="F37" s="67" t="s">
        <v>45</v>
      </c>
      <c r="G37" s="114">
        <v>43061</v>
      </c>
      <c r="H37" s="115"/>
      <c r="I37" s="35">
        <v>0</v>
      </c>
      <c r="J37" s="77">
        <v>0</v>
      </c>
      <c r="K37" s="35">
        <v>86</v>
      </c>
      <c r="L37" s="78">
        <v>25671</v>
      </c>
      <c r="M37" s="35">
        <v>0</v>
      </c>
      <c r="N37" s="77">
        <v>0</v>
      </c>
      <c r="O37" s="35">
        <f t="shared" si="1"/>
        <v>86</v>
      </c>
      <c r="P37" s="77">
        <f t="shared" si="1"/>
        <v>25671</v>
      </c>
      <c r="Q37" s="61"/>
      <c r="R37" s="61"/>
    </row>
    <row r="38" spans="1:18" s="62" customFormat="1" ht="39" customHeight="1">
      <c r="A38" s="59"/>
      <c r="B38" s="60"/>
      <c r="C38" s="60"/>
      <c r="D38" s="79" t="s">
        <v>24</v>
      </c>
      <c r="E38" s="75">
        <v>2301400</v>
      </c>
      <c r="F38" s="125" t="s">
        <v>46</v>
      </c>
      <c r="G38" s="114">
        <v>43046</v>
      </c>
      <c r="H38" s="115">
        <v>1379</v>
      </c>
      <c r="I38" s="35">
        <v>0</v>
      </c>
      <c r="J38" s="77">
        <v>0</v>
      </c>
      <c r="K38" s="35">
        <v>18</v>
      </c>
      <c r="L38" s="78">
        <v>5398.2</v>
      </c>
      <c r="M38" s="35">
        <v>0</v>
      </c>
      <c r="N38" s="77">
        <v>0</v>
      </c>
      <c r="O38" s="35">
        <f t="shared" si="1"/>
        <v>18</v>
      </c>
      <c r="P38" s="77">
        <f t="shared" si="1"/>
        <v>5398.2</v>
      </c>
      <c r="Q38" s="61"/>
      <c r="R38" s="61"/>
    </row>
    <row r="39" spans="1:18" s="62" customFormat="1" ht="39" customHeight="1">
      <c r="A39" s="59"/>
      <c r="B39" s="60"/>
      <c r="C39" s="60"/>
      <c r="D39" s="79" t="s">
        <v>24</v>
      </c>
      <c r="E39" s="75">
        <v>2301400</v>
      </c>
      <c r="F39" s="125" t="s">
        <v>47</v>
      </c>
      <c r="G39" s="114">
        <v>43066</v>
      </c>
      <c r="H39" s="115">
        <v>1476</v>
      </c>
      <c r="I39" s="35">
        <v>0</v>
      </c>
      <c r="J39" s="77">
        <v>0</v>
      </c>
      <c r="K39" s="35">
        <v>162</v>
      </c>
      <c r="L39" s="78">
        <v>48583.8</v>
      </c>
      <c r="M39" s="35">
        <v>0</v>
      </c>
      <c r="N39" s="77">
        <v>0</v>
      </c>
      <c r="O39" s="35">
        <f t="shared" si="1"/>
        <v>162</v>
      </c>
      <c r="P39" s="77">
        <f t="shared" si="1"/>
        <v>48583.8</v>
      </c>
      <c r="Q39" s="61"/>
      <c r="R39" s="61"/>
    </row>
    <row r="40" spans="1:18" s="62" customFormat="1" ht="24" customHeight="1">
      <c r="A40" s="59"/>
      <c r="B40" s="60"/>
      <c r="C40" s="60"/>
      <c r="D40" s="79" t="s">
        <v>24</v>
      </c>
      <c r="E40" s="75">
        <v>2301400</v>
      </c>
      <c r="F40" s="53" t="s">
        <v>43</v>
      </c>
      <c r="G40" s="114">
        <v>43047</v>
      </c>
      <c r="H40" s="115">
        <v>1381</v>
      </c>
      <c r="I40" s="35">
        <v>0</v>
      </c>
      <c r="J40" s="77">
        <v>0</v>
      </c>
      <c r="K40" s="35">
        <v>40</v>
      </c>
      <c r="L40" s="78">
        <v>21408.799999999999</v>
      </c>
      <c r="M40" s="35">
        <v>0</v>
      </c>
      <c r="N40" s="77">
        <v>0</v>
      </c>
      <c r="O40" s="35">
        <f t="shared" si="1"/>
        <v>40</v>
      </c>
      <c r="P40" s="77">
        <f t="shared" si="1"/>
        <v>21408.799999999999</v>
      </c>
      <c r="Q40" s="61"/>
      <c r="R40" s="61"/>
    </row>
    <row r="41" spans="1:18" s="62" customFormat="1" ht="24" customHeight="1">
      <c r="A41" s="59"/>
      <c r="B41" s="60"/>
      <c r="C41" s="60"/>
      <c r="D41" s="79" t="s">
        <v>24</v>
      </c>
      <c r="E41" s="75">
        <v>2301400</v>
      </c>
      <c r="F41" s="53" t="s">
        <v>43</v>
      </c>
      <c r="G41" s="114">
        <v>43040</v>
      </c>
      <c r="H41" s="124"/>
      <c r="I41" s="35">
        <v>0</v>
      </c>
      <c r="J41" s="77">
        <v>0</v>
      </c>
      <c r="K41" s="35">
        <v>210</v>
      </c>
      <c r="L41" s="78">
        <v>112396.2</v>
      </c>
      <c r="M41" s="35">
        <v>0</v>
      </c>
      <c r="N41" s="77">
        <v>0</v>
      </c>
      <c r="O41" s="35">
        <f t="shared" si="1"/>
        <v>210</v>
      </c>
      <c r="P41" s="77">
        <f t="shared" si="1"/>
        <v>112396.2</v>
      </c>
      <c r="Q41" s="61"/>
      <c r="R41" s="61"/>
    </row>
    <row r="42" spans="1:18" s="62" customFormat="1" ht="24" customHeight="1">
      <c r="A42" s="59"/>
      <c r="B42" s="60"/>
      <c r="C42" s="60"/>
      <c r="D42" s="79" t="s">
        <v>24</v>
      </c>
      <c r="E42" s="75">
        <v>2301400</v>
      </c>
      <c r="F42" s="51" t="s">
        <v>48</v>
      </c>
      <c r="G42" s="114">
        <v>43052</v>
      </c>
      <c r="H42" s="115">
        <v>1405</v>
      </c>
      <c r="I42" s="35">
        <v>0</v>
      </c>
      <c r="J42" s="77">
        <v>0</v>
      </c>
      <c r="K42" s="35">
        <v>120</v>
      </c>
      <c r="L42" s="78">
        <v>58734</v>
      </c>
      <c r="M42" s="35">
        <v>0</v>
      </c>
      <c r="N42" s="77">
        <v>0</v>
      </c>
      <c r="O42" s="35">
        <f t="shared" si="1"/>
        <v>120</v>
      </c>
      <c r="P42" s="77">
        <f t="shared" si="1"/>
        <v>58734</v>
      </c>
      <c r="Q42" s="61"/>
      <c r="R42" s="61"/>
    </row>
    <row r="43" spans="1:18" s="62" customFormat="1" ht="24" customHeight="1">
      <c r="A43" s="59"/>
      <c r="B43" s="60"/>
      <c r="C43" s="60"/>
      <c r="D43" s="79" t="s">
        <v>24</v>
      </c>
      <c r="E43" s="75">
        <v>2301400</v>
      </c>
      <c r="F43" s="51" t="s">
        <v>48</v>
      </c>
      <c r="G43" s="114">
        <v>43066</v>
      </c>
      <c r="H43" s="115">
        <v>1476</v>
      </c>
      <c r="I43" s="35">
        <v>0</v>
      </c>
      <c r="J43" s="77">
        <v>0</v>
      </c>
      <c r="K43" s="35">
        <v>30</v>
      </c>
      <c r="L43" s="78">
        <v>14683.5</v>
      </c>
      <c r="M43" s="35">
        <v>0</v>
      </c>
      <c r="N43" s="77">
        <v>0</v>
      </c>
      <c r="O43" s="35">
        <f t="shared" si="1"/>
        <v>30</v>
      </c>
      <c r="P43" s="77">
        <f t="shared" si="1"/>
        <v>14683.5</v>
      </c>
      <c r="Q43" s="61"/>
      <c r="R43" s="61"/>
    </row>
    <row r="44" spans="1:18" s="10" customFormat="1" ht="15.75">
      <c r="A44" s="20" t="s">
        <v>11</v>
      </c>
      <c r="B44" s="20"/>
      <c r="C44" s="20"/>
      <c r="D44" s="690" t="s">
        <v>34</v>
      </c>
      <c r="E44" s="691"/>
      <c r="F44" s="691"/>
      <c r="G44" s="691"/>
      <c r="H44" s="692"/>
      <c r="I44" s="48">
        <f>SUM(I19:I43)</f>
        <v>102</v>
      </c>
      <c r="J44" s="49">
        <f>SUM(J19:J43)</f>
        <v>33225.839999999997</v>
      </c>
      <c r="K44" s="48">
        <f>SUM(K29:K43)</f>
        <v>1326</v>
      </c>
      <c r="L44" s="64">
        <f>SUM(L19:L43)</f>
        <v>482625.7</v>
      </c>
      <c r="M44" s="48">
        <f>SUM(M19:M43)</f>
        <v>86</v>
      </c>
      <c r="N44" s="49">
        <f>SUM(N19:N43)</f>
        <v>22093.480000000003</v>
      </c>
      <c r="O44" s="48">
        <f>SUM(O19:O43)</f>
        <v>1342</v>
      </c>
      <c r="P44" s="49">
        <f>SUM(P19:P43)</f>
        <v>493758.06</v>
      </c>
      <c r="Q44" s="26">
        <f>SUM(Q19:Q26)</f>
        <v>0</v>
      </c>
      <c r="R44" s="27"/>
    </row>
    <row r="45" spans="1:18">
      <c r="A45" s="19"/>
      <c r="B45" s="19"/>
      <c r="C45" s="19"/>
      <c r="I45" s="10"/>
      <c r="J45" s="10"/>
      <c r="K45" s="10"/>
      <c r="L45" s="10"/>
      <c r="M45" s="10"/>
      <c r="N45" s="10"/>
      <c r="O45" s="10"/>
      <c r="P45" s="10"/>
      <c r="Q45" s="10"/>
    </row>
    <row r="46" spans="1:18" ht="15.75">
      <c r="A46" s="28"/>
      <c r="B46" s="28"/>
      <c r="C46" s="28"/>
      <c r="D46" s="28"/>
      <c r="E46" s="28"/>
      <c r="F46" s="28"/>
      <c r="G46" s="108"/>
      <c r="H46" s="28"/>
      <c r="I46" s="11"/>
      <c r="J46" s="9"/>
      <c r="K46" s="11"/>
      <c r="L46" s="9"/>
      <c r="M46" s="9"/>
      <c r="N46" s="47"/>
      <c r="O46" s="47"/>
      <c r="P46" s="91"/>
    </row>
    <row r="47" spans="1:18" ht="18.75">
      <c r="A47" s="28"/>
      <c r="B47" s="28"/>
      <c r="C47" s="28"/>
      <c r="D47" s="28"/>
      <c r="E47" s="693" t="s">
        <v>25</v>
      </c>
      <c r="F47" s="693"/>
      <c r="G47" s="693"/>
      <c r="H47" s="693"/>
      <c r="I47" s="693"/>
      <c r="J47" s="693"/>
      <c r="K47" s="693"/>
      <c r="L47" s="693"/>
      <c r="M47" s="693"/>
      <c r="N47" s="693"/>
      <c r="O47" s="47"/>
      <c r="P47" s="12"/>
    </row>
    <row r="48" spans="1:18" ht="15" customHeight="1">
      <c r="A48" s="43"/>
      <c r="B48" s="43"/>
      <c r="C48" s="43"/>
      <c r="D48" s="43"/>
      <c r="E48" s="121"/>
      <c r="F48" s="120"/>
      <c r="G48" s="109"/>
      <c r="H48" s="32"/>
      <c r="I48" s="38"/>
      <c r="J48" s="32"/>
      <c r="K48" s="38"/>
      <c r="L48" s="32"/>
      <c r="M48" s="32"/>
      <c r="N48" s="39"/>
      <c r="O48" s="47"/>
      <c r="P48" s="12"/>
    </row>
    <row r="49" spans="1:16" ht="18" customHeight="1">
      <c r="A49" s="44" t="s">
        <v>12</v>
      </c>
      <c r="B49" s="44"/>
      <c r="C49" s="44"/>
      <c r="D49" s="44"/>
      <c r="E49" s="34"/>
      <c r="F49" s="40"/>
      <c r="G49" s="110"/>
      <c r="H49" s="40"/>
      <c r="I49" s="40"/>
      <c r="J49" s="40"/>
      <c r="K49" s="40"/>
      <c r="L49" s="40"/>
      <c r="M49" s="40"/>
      <c r="N49" s="40"/>
      <c r="O49" s="45"/>
      <c r="P49" s="13"/>
    </row>
    <row r="50" spans="1:16" ht="18.75">
      <c r="A50" s="9"/>
      <c r="B50" s="9"/>
      <c r="C50" s="9"/>
      <c r="D50" s="9"/>
      <c r="E50" s="694" t="s">
        <v>20</v>
      </c>
      <c r="F50" s="694"/>
      <c r="G50" s="694"/>
      <c r="H50" s="694"/>
      <c r="I50" s="694"/>
      <c r="J50" s="694"/>
      <c r="K50" s="694"/>
      <c r="L50" s="694"/>
      <c r="M50" s="694"/>
      <c r="N50" s="694"/>
      <c r="O50" s="9"/>
      <c r="P50" s="13"/>
    </row>
    <row r="51" spans="1:16" ht="15.75">
      <c r="A51" s="44"/>
      <c r="B51" s="44"/>
      <c r="C51" s="44"/>
      <c r="D51" s="44"/>
      <c r="E51" s="46" t="s">
        <v>26</v>
      </c>
      <c r="F51" s="44"/>
      <c r="G51" s="111"/>
      <c r="H51" s="45"/>
      <c r="I51" s="45"/>
      <c r="J51" s="45"/>
      <c r="K51" s="45"/>
      <c r="L51" s="45"/>
      <c r="M51" s="45"/>
      <c r="N51" s="45"/>
      <c r="O51" s="45"/>
    </row>
    <row r="52" spans="1:16" ht="36" customHeight="1">
      <c r="A52" s="9"/>
      <c r="B52" s="9"/>
      <c r="C52" s="9"/>
      <c r="D52" s="676" t="s">
        <v>38</v>
      </c>
      <c r="E52" s="676"/>
      <c r="F52" s="676"/>
      <c r="G52" s="112"/>
      <c r="H52" s="9"/>
      <c r="I52" s="11"/>
      <c r="J52" s="9"/>
      <c r="K52" s="11"/>
      <c r="L52" s="9"/>
      <c r="M52" s="9"/>
      <c r="N52" s="9"/>
      <c r="O52" s="9"/>
    </row>
  </sheetData>
  <mergeCells count="16">
    <mergeCell ref="D52:F52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44:H44"/>
    <mergeCell ref="E47:N47"/>
    <mergeCell ref="E50:N50"/>
  </mergeCells>
  <pageMargins left="0.31496062992125984" right="0.31496062992125984" top="0.11811023622047245" bottom="0.15748031496062992" header="0.23622047244094491" footer="0.23622047244094491"/>
  <pageSetup paperSize="9" scale="72" fitToHeight="2" orientation="landscape" r:id="rId1"/>
  <headerFooter alignWithMargins="0"/>
  <rowBreaks count="1" manualBreakCount="1">
    <brk id="27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1" zoomScale="70" zoomScaleSheetLayoutView="70" workbookViewId="0">
      <selection activeCell="BB15" sqref="BB15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290"/>
      <c r="AR1" s="255"/>
      <c r="AS1" s="255"/>
      <c r="AT1" s="290"/>
      <c r="AU1" s="290"/>
      <c r="AV1" s="29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29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29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216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290"/>
      <c r="AR12" s="255"/>
      <c r="AS12" s="255"/>
      <c r="AT12" s="360"/>
      <c r="AU12" s="360"/>
      <c r="AV12" s="360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98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212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21.7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59" t="s">
        <v>77</v>
      </c>
      <c r="N16" s="359" t="s">
        <v>78</v>
      </c>
      <c r="O16" s="359" t="s">
        <v>77</v>
      </c>
      <c r="P16" s="359" t="s">
        <v>78</v>
      </c>
      <c r="Q16" s="359" t="s">
        <v>77</v>
      </c>
      <c r="R16" s="359" t="s">
        <v>78</v>
      </c>
      <c r="S16" s="359" t="s">
        <v>77</v>
      </c>
      <c r="T16" s="35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56" t="s">
        <v>77</v>
      </c>
      <c r="AE16" s="356" t="s">
        <v>78</v>
      </c>
      <c r="AF16" s="205" t="s">
        <v>77</v>
      </c>
      <c r="AG16" s="205" t="s">
        <v>78</v>
      </c>
      <c r="AH16" s="356" t="s">
        <v>77</v>
      </c>
      <c r="AI16" s="356" t="s">
        <v>78</v>
      </c>
      <c r="AJ16" s="97" t="s">
        <v>96</v>
      </c>
      <c r="AK16" s="96" t="s">
        <v>19</v>
      </c>
      <c r="AL16" s="357" t="s">
        <v>96</v>
      </c>
      <c r="AM16" s="357" t="s">
        <v>19</v>
      </c>
      <c r="AN16" s="216" t="s">
        <v>96</v>
      </c>
      <c r="AO16" s="216" t="s">
        <v>19</v>
      </c>
      <c r="AP16" s="207" t="s">
        <v>96</v>
      </c>
      <c r="AQ16" s="357" t="s">
        <v>96</v>
      </c>
      <c r="AR16" s="357" t="s">
        <v>107</v>
      </c>
      <c r="AS16" s="357" t="s">
        <v>19</v>
      </c>
      <c r="AT16" s="358" t="s">
        <v>96</v>
      </c>
      <c r="AU16" s="358" t="s">
        <v>19</v>
      </c>
      <c r="AV16" s="361" t="s">
        <v>108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0</v>
      </c>
      <c r="AO17" s="217">
        <v>129.16</v>
      </c>
      <c r="AP17" s="232"/>
      <c r="AQ17" s="229"/>
      <c r="AR17" s="212">
        <v>32.29</v>
      </c>
      <c r="AS17" s="212">
        <f>AQ17*AR17</f>
        <v>0</v>
      </c>
      <c r="AT17" s="227">
        <f>AN17+AP17-AQ17</f>
        <v>0</v>
      </c>
      <c r="AU17" s="228">
        <f>AT17*AR17</f>
        <v>0</v>
      </c>
      <c r="AV17" s="362"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f t="shared" ref="AT18:AT84" si="4">AN18+AP18-AQ18</f>
        <v>1</v>
      </c>
      <c r="AU18" s="228">
        <f t="shared" ref="AU18:AU84" si="5">AT18*AR18</f>
        <v>1026.1600000000001</v>
      </c>
      <c r="AV18" s="363"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f t="shared" si="4"/>
        <v>1</v>
      </c>
      <c r="AU19" s="228">
        <f t="shared" si="5"/>
        <v>1026.1600000000001</v>
      </c>
      <c r="AV19" s="364"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f t="shared" si="4"/>
        <v>1</v>
      </c>
      <c r="AU20" s="228">
        <f t="shared" si="5"/>
        <v>2094.4</v>
      </c>
      <c r="AV20" s="97"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f t="shared" si="4"/>
        <v>1</v>
      </c>
      <c r="AU21" s="228">
        <f t="shared" si="5"/>
        <v>2094.4</v>
      </c>
      <c r="AV21" s="364"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 t="shared" si="4"/>
        <v>5</v>
      </c>
      <c r="AU22" s="228">
        <f t="shared" si="5"/>
        <v>3934.5</v>
      </c>
      <c r="AV22" s="97"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f t="shared" si="4"/>
        <v>4</v>
      </c>
      <c r="AU23" s="228">
        <f t="shared" si="5"/>
        <v>8081.6</v>
      </c>
      <c r="AV23" s="97"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6"/>
        <v>0</v>
      </c>
      <c r="AK24" s="170">
        <f t="shared" si="6"/>
        <v>0</v>
      </c>
      <c r="AL24" s="272">
        <f>60+60+30+30</f>
        <v>180</v>
      </c>
      <c r="AM24" s="212">
        <f>AL24*AR24</f>
        <v>25070.400000000001</v>
      </c>
      <c r="AN24" s="269">
        <v>0</v>
      </c>
      <c r="AO24" s="217">
        <f>AN24*AR24</f>
        <v>0</v>
      </c>
      <c r="AP24" s="232"/>
      <c r="AQ24" s="229"/>
      <c r="AR24" s="212">
        <v>139.28</v>
      </c>
      <c r="AS24" s="212">
        <f t="shared" si="3"/>
        <v>0</v>
      </c>
      <c r="AT24" s="227">
        <f>AN24-AQ24</f>
        <v>0</v>
      </c>
      <c r="AU24" s="228">
        <f t="shared" si="5"/>
        <v>0</v>
      </c>
      <c r="AV24" s="97"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 t="shared" si="4"/>
        <v>40</v>
      </c>
      <c r="AU25" s="228">
        <f t="shared" si="5"/>
        <v>5571.2</v>
      </c>
      <c r="AV25" s="97">
        <v>40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6"/>
        <v>0</v>
      </c>
      <c r="AK26" s="170">
        <f t="shared" si="6"/>
        <v>0</v>
      </c>
      <c r="AL26" s="272">
        <f>60+60+30+30</f>
        <v>180</v>
      </c>
      <c r="AM26" s="212">
        <f>AL26*AR26</f>
        <v>94469.400000000009</v>
      </c>
      <c r="AN26" s="269">
        <v>0</v>
      </c>
      <c r="AO26" s="217">
        <f>AN26*AR26</f>
        <v>0</v>
      </c>
      <c r="AP26" s="232"/>
      <c r="AQ26" s="229"/>
      <c r="AR26" s="212">
        <v>524.83000000000004</v>
      </c>
      <c r="AS26" s="212">
        <f t="shared" si="3"/>
        <v>0</v>
      </c>
      <c r="AT26" s="227">
        <f t="shared" si="4"/>
        <v>0</v>
      </c>
      <c r="AU26" s="228">
        <f t="shared" si="5"/>
        <v>0</v>
      </c>
      <c r="AV26" s="97"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 t="shared" si="4"/>
        <v>39</v>
      </c>
      <c r="AU27" s="228">
        <f t="shared" si="5"/>
        <v>20468.370000000003</v>
      </c>
      <c r="AV27" s="97">
        <v>39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149" t="s">
        <v>44</v>
      </c>
      <c r="G28" s="222" t="s">
        <v>116</v>
      </c>
      <c r="H28" s="193" t="s">
        <v>91</v>
      </c>
      <c r="I28" s="193" t="s">
        <v>91</v>
      </c>
      <c r="J28" s="193"/>
      <c r="K28" s="193"/>
      <c r="L28" s="243"/>
      <c r="M28" s="242">
        <f t="shared" si="0"/>
        <v>0</v>
      </c>
      <c r="N28" s="243">
        <f t="shared" si="1"/>
        <v>0</v>
      </c>
      <c r="O28" s="193"/>
      <c r="P28" s="243"/>
      <c r="Q28" s="193"/>
      <c r="R28" s="243"/>
      <c r="S28" s="193"/>
      <c r="T28" s="243"/>
      <c r="U28" s="203"/>
      <c r="V28" s="115">
        <v>1476</v>
      </c>
      <c r="W28" s="114">
        <v>43066</v>
      </c>
      <c r="X28" s="193" t="s">
        <v>201</v>
      </c>
      <c r="Y28" s="200">
        <v>43068</v>
      </c>
      <c r="Z28" s="193" t="s">
        <v>210</v>
      </c>
      <c r="AA28" s="200">
        <v>43073</v>
      </c>
      <c r="AB28" s="35">
        <v>5</v>
      </c>
      <c r="AC28" s="170">
        <v>1010.9</v>
      </c>
      <c r="AD28" s="209"/>
      <c r="AE28" s="194"/>
      <c r="AF28" s="209"/>
      <c r="AG28" s="194"/>
      <c r="AH28" s="209"/>
      <c r="AI28" s="194"/>
      <c r="AJ28" s="233">
        <f t="shared" si="6"/>
        <v>0</v>
      </c>
      <c r="AK28" s="170">
        <f t="shared" si="6"/>
        <v>0</v>
      </c>
      <c r="AL28" s="272">
        <v>5</v>
      </c>
      <c r="AM28" s="212">
        <v>1010.9</v>
      </c>
      <c r="AN28" s="269">
        <v>0</v>
      </c>
      <c r="AO28" s="217">
        <f>AN28*AR28</f>
        <v>0</v>
      </c>
      <c r="AP28" s="232"/>
      <c r="AQ28" s="229"/>
      <c r="AR28" s="212">
        <v>202.18</v>
      </c>
      <c r="AS28" s="212">
        <f t="shared" si="3"/>
        <v>0</v>
      </c>
      <c r="AT28" s="227">
        <f t="shared" si="4"/>
        <v>0</v>
      </c>
      <c r="AU28" s="228">
        <f t="shared" si="5"/>
        <v>0</v>
      </c>
      <c r="AV28" s="97"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149" t="s">
        <v>44</v>
      </c>
      <c r="G29" s="222" t="s">
        <v>116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/>
      <c r="V29" s="115" t="s">
        <v>59</v>
      </c>
      <c r="W29" s="114">
        <v>43061</v>
      </c>
      <c r="X29" s="193"/>
      <c r="Y29" s="193"/>
      <c r="Z29" s="193"/>
      <c r="AA29" s="193"/>
      <c r="AB29" s="35">
        <v>205</v>
      </c>
      <c r="AC29" s="170">
        <v>41446.9</v>
      </c>
      <c r="AD29" s="209"/>
      <c r="AE29" s="194"/>
      <c r="AF29" s="209"/>
      <c r="AG29" s="194"/>
      <c r="AH29" s="209"/>
      <c r="AI29" s="194"/>
      <c r="AJ29" s="233">
        <f t="shared" si="6"/>
        <v>0</v>
      </c>
      <c r="AK29" s="170">
        <f t="shared" si="6"/>
        <v>0</v>
      </c>
      <c r="AL29" s="272">
        <v>205</v>
      </c>
      <c r="AM29" s="212">
        <f>AL29*AR29</f>
        <v>41446.9</v>
      </c>
      <c r="AN29" s="269">
        <v>0</v>
      </c>
      <c r="AO29" s="217">
        <f>AN29*AR29</f>
        <v>0</v>
      </c>
      <c r="AP29" s="232"/>
      <c r="AQ29" s="229"/>
      <c r="AR29" s="212">
        <v>202.18</v>
      </c>
      <c r="AS29" s="212">
        <f t="shared" si="3"/>
        <v>0</v>
      </c>
      <c r="AT29" s="227">
        <f t="shared" si="4"/>
        <v>0</v>
      </c>
      <c r="AU29" s="228">
        <f t="shared" si="5"/>
        <v>0</v>
      </c>
      <c r="AV29" s="97"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f t="shared" si="4"/>
        <v>0</v>
      </c>
      <c r="AU30" s="170">
        <f t="shared" si="5"/>
        <v>0</v>
      </c>
      <c r="AV30" s="22"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f t="shared" si="4"/>
        <v>0</v>
      </c>
      <c r="AU31" s="170">
        <f t="shared" si="5"/>
        <v>0</v>
      </c>
      <c r="AV31" s="22"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f t="shared" si="4"/>
        <v>0</v>
      </c>
      <c r="AU32" s="170">
        <f t="shared" si="5"/>
        <v>0</v>
      </c>
      <c r="AV32" s="22"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f t="shared" si="4"/>
        <v>52</v>
      </c>
      <c r="AU33" s="228">
        <f t="shared" si="5"/>
        <v>15522</v>
      </c>
      <c r="AV33" s="97"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f t="shared" si="4"/>
        <v>0</v>
      </c>
      <c r="AU34" s="170">
        <f t="shared" si="5"/>
        <v>0</v>
      </c>
      <c r="AV34" s="22"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6"/>
        <v>0</v>
      </c>
      <c r="AK35" s="170">
        <f t="shared" si="6"/>
        <v>0</v>
      </c>
      <c r="AL35" s="272">
        <f>20+60+60</f>
        <v>140</v>
      </c>
      <c r="AM35" s="212">
        <f>5998+17994</f>
        <v>23992</v>
      </c>
      <c r="AN35" s="269">
        <v>22</v>
      </c>
      <c r="AO35" s="217">
        <f t="shared" si="2"/>
        <v>24591.800000000003</v>
      </c>
      <c r="AP35" s="232"/>
      <c r="AQ35" s="229"/>
      <c r="AR35" s="212">
        <v>299.89999999999998</v>
      </c>
      <c r="AS35" s="212">
        <f t="shared" si="3"/>
        <v>0</v>
      </c>
      <c r="AT35" s="227">
        <f t="shared" si="4"/>
        <v>22</v>
      </c>
      <c r="AU35" s="228">
        <f>AT35*AR35</f>
        <v>6597.7999999999993</v>
      </c>
      <c r="AV35" s="97">
        <v>22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f t="shared" si="4"/>
        <v>0</v>
      </c>
      <c r="AU36" s="170">
        <f t="shared" si="5"/>
        <v>0</v>
      </c>
      <c r="AV36" s="22"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f t="shared" si="4"/>
        <v>105</v>
      </c>
      <c r="AU37" s="228">
        <f t="shared" si="5"/>
        <v>56198.100000000006</v>
      </c>
      <c r="AV37" s="97"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f t="shared" si="4"/>
        <v>15</v>
      </c>
      <c r="AU38" s="228">
        <f t="shared" si="5"/>
        <v>8028.3</v>
      </c>
      <c r="AV38" s="97"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161" t="s">
        <v>48</v>
      </c>
      <c r="G39" s="222" t="s">
        <v>152</v>
      </c>
      <c r="H39" s="193" t="s">
        <v>91</v>
      </c>
      <c r="I39" s="193" t="s">
        <v>91</v>
      </c>
      <c r="J39" s="193"/>
      <c r="K39" s="193"/>
      <c r="L39" s="243"/>
      <c r="M39" s="242">
        <f t="shared" si="0"/>
        <v>0</v>
      </c>
      <c r="N39" s="243">
        <f t="shared" si="1"/>
        <v>0</v>
      </c>
      <c r="O39" s="193"/>
      <c r="P39" s="243"/>
      <c r="Q39" s="193"/>
      <c r="R39" s="243"/>
      <c r="S39" s="193"/>
      <c r="T39" s="243"/>
      <c r="U39" s="203" t="s">
        <v>204</v>
      </c>
      <c r="V39" s="115">
        <v>1405</v>
      </c>
      <c r="W39" s="114">
        <v>43052</v>
      </c>
      <c r="X39" s="193"/>
      <c r="Y39" s="193"/>
      <c r="Z39" s="193"/>
      <c r="AA39" s="193"/>
      <c r="AB39" s="35">
        <v>120</v>
      </c>
      <c r="AC39" s="170">
        <v>58734</v>
      </c>
      <c r="AD39" s="209"/>
      <c r="AE39" s="194"/>
      <c r="AF39" s="209"/>
      <c r="AG39" s="194"/>
      <c r="AH39" s="209"/>
      <c r="AI39" s="194"/>
      <c r="AJ39" s="233">
        <f t="shared" si="6"/>
        <v>0</v>
      </c>
      <c r="AK39" s="170">
        <f t="shared" si="6"/>
        <v>0</v>
      </c>
      <c r="AL39" s="272">
        <f>15+30+10+25+20+20</f>
        <v>120</v>
      </c>
      <c r="AM39" s="212">
        <f>7341.75+14683.5+4894.5+12236.25+9789</f>
        <v>48945</v>
      </c>
      <c r="AN39" s="269">
        <v>0</v>
      </c>
      <c r="AO39" s="217">
        <f t="shared" si="2"/>
        <v>9789</v>
      </c>
      <c r="AP39" s="232"/>
      <c r="AQ39" s="229"/>
      <c r="AR39" s="212">
        <v>489.45</v>
      </c>
      <c r="AS39" s="212">
        <f t="shared" si="3"/>
        <v>0</v>
      </c>
      <c r="AT39" s="227">
        <f t="shared" si="4"/>
        <v>0</v>
      </c>
      <c r="AU39" s="228">
        <f t="shared" si="5"/>
        <v>0</v>
      </c>
      <c r="AV39" s="97"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f t="shared" si="4"/>
        <v>0</v>
      </c>
      <c r="AU40" s="170">
        <f t="shared" si="5"/>
        <v>0</v>
      </c>
      <c r="AV40" s="22"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 t="shared" si="4"/>
        <v>65</v>
      </c>
      <c r="AU41" s="228">
        <f t="shared" si="5"/>
        <v>31814.25</v>
      </c>
      <c r="AV41" s="97">
        <v>65</v>
      </c>
    </row>
    <row r="42" spans="1:48" s="134" customFormat="1" ht="27" customHeight="1">
      <c r="A42" s="131"/>
      <c r="B42" s="132"/>
      <c r="C42" s="60"/>
      <c r="D42" s="22">
        <v>26</v>
      </c>
      <c r="E42" s="79" t="s">
        <v>24</v>
      </c>
      <c r="F42" s="149" t="s">
        <v>44</v>
      </c>
      <c r="G42" s="222" t="s">
        <v>116</v>
      </c>
      <c r="H42" s="193" t="s">
        <v>91</v>
      </c>
      <c r="I42" s="193" t="s">
        <v>91</v>
      </c>
      <c r="J42" s="193">
        <v>1750</v>
      </c>
      <c r="K42" s="193">
        <v>2</v>
      </c>
      <c r="L42" s="243">
        <v>199.06</v>
      </c>
      <c r="M42" s="242">
        <f t="shared" si="0"/>
        <v>3500</v>
      </c>
      <c r="N42" s="243">
        <f t="shared" si="1"/>
        <v>696710</v>
      </c>
      <c r="O42" s="193">
        <v>1000</v>
      </c>
      <c r="P42" s="243">
        <v>255340</v>
      </c>
      <c r="Q42" s="193"/>
      <c r="R42" s="243"/>
      <c r="S42" s="193">
        <v>368</v>
      </c>
      <c r="T42" s="243">
        <v>73254.080000000002</v>
      </c>
      <c r="U42" s="203" t="s">
        <v>119</v>
      </c>
      <c r="V42" s="115">
        <v>1583</v>
      </c>
      <c r="W42" s="114">
        <v>43082</v>
      </c>
      <c r="X42" s="193" t="s">
        <v>113</v>
      </c>
      <c r="Y42" s="200">
        <v>43109</v>
      </c>
      <c r="Z42" s="193" t="s">
        <v>110</v>
      </c>
      <c r="AA42" s="200">
        <v>43111</v>
      </c>
      <c r="AB42" s="22">
        <v>0</v>
      </c>
      <c r="AC42" s="170">
        <v>0</v>
      </c>
      <c r="AD42" s="209">
        <v>50</v>
      </c>
      <c r="AE42" s="194">
        <v>10109</v>
      </c>
      <c r="AF42" s="209"/>
      <c r="AG42" s="194"/>
      <c r="AH42" s="209"/>
      <c r="AI42" s="194"/>
      <c r="AJ42" s="233">
        <f t="shared" si="6"/>
        <v>50</v>
      </c>
      <c r="AK42" s="170">
        <f t="shared" si="6"/>
        <v>10109</v>
      </c>
      <c r="AL42" s="272">
        <v>10</v>
      </c>
      <c r="AM42" s="212">
        <f>AL42*AR42</f>
        <v>2021.8000000000002</v>
      </c>
      <c r="AN42" s="269">
        <v>40</v>
      </c>
      <c r="AO42" s="217">
        <f t="shared" si="2"/>
        <v>8087.2</v>
      </c>
      <c r="AP42" s="232"/>
      <c r="AQ42" s="229"/>
      <c r="AR42" s="212">
        <v>202.18</v>
      </c>
      <c r="AS42" s="212">
        <f t="shared" si="3"/>
        <v>0</v>
      </c>
      <c r="AT42" s="227">
        <f t="shared" si="4"/>
        <v>40</v>
      </c>
      <c r="AU42" s="228">
        <f t="shared" si="5"/>
        <v>8087.2000000000007</v>
      </c>
      <c r="AV42" s="97">
        <v>40</v>
      </c>
    </row>
    <row r="43" spans="1:48" s="139" customFormat="1" ht="27" customHeight="1">
      <c r="A43" s="136"/>
      <c r="B43" s="137"/>
      <c r="C43" s="60"/>
      <c r="D43" s="22">
        <v>27</v>
      </c>
      <c r="E43" s="79" t="s">
        <v>24</v>
      </c>
      <c r="F43" s="149" t="s">
        <v>54</v>
      </c>
      <c r="G43" s="222" t="s">
        <v>116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119</v>
      </c>
      <c r="V43" s="115">
        <v>1745</v>
      </c>
      <c r="W43" s="114">
        <v>43096</v>
      </c>
      <c r="X43" s="193" t="s">
        <v>117</v>
      </c>
      <c r="Y43" s="200">
        <v>43109</v>
      </c>
      <c r="Z43" s="193" t="s">
        <v>118</v>
      </c>
      <c r="AA43" s="200">
        <v>43133</v>
      </c>
      <c r="AB43" s="22">
        <v>0</v>
      </c>
      <c r="AC43" s="170">
        <v>0</v>
      </c>
      <c r="AD43" s="209">
        <v>45</v>
      </c>
      <c r="AE43" s="194">
        <v>9098.1</v>
      </c>
      <c r="AF43" s="209"/>
      <c r="AG43" s="194"/>
      <c r="AH43" s="209"/>
      <c r="AI43" s="194"/>
      <c r="AJ43" s="233">
        <f t="shared" si="6"/>
        <v>45</v>
      </c>
      <c r="AK43" s="170">
        <f t="shared" si="6"/>
        <v>9098.1</v>
      </c>
      <c r="AL43" s="272">
        <v>0</v>
      </c>
      <c r="AM43" s="212">
        <v>0</v>
      </c>
      <c r="AN43" s="269">
        <v>45</v>
      </c>
      <c r="AO43" s="217">
        <f t="shared" si="2"/>
        <v>9098.1</v>
      </c>
      <c r="AP43" s="232"/>
      <c r="AQ43" s="229"/>
      <c r="AR43" s="212">
        <v>202.18</v>
      </c>
      <c r="AS43" s="212">
        <f t="shared" si="3"/>
        <v>0</v>
      </c>
      <c r="AT43" s="227">
        <f t="shared" si="4"/>
        <v>45</v>
      </c>
      <c r="AU43" s="228">
        <f t="shared" si="5"/>
        <v>9098.1</v>
      </c>
      <c r="AV43" s="97">
        <v>45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149" t="s">
        <v>44</v>
      </c>
      <c r="G44" s="222" t="s">
        <v>116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134</v>
      </c>
      <c r="V44" s="115">
        <v>426</v>
      </c>
      <c r="W44" s="114">
        <v>43164</v>
      </c>
      <c r="X44" s="193" t="s">
        <v>141</v>
      </c>
      <c r="Y44" s="200">
        <v>43164</v>
      </c>
      <c r="Z44" s="193" t="s">
        <v>142</v>
      </c>
      <c r="AA44" s="200">
        <v>43230</v>
      </c>
      <c r="AB44" s="22">
        <v>0</v>
      </c>
      <c r="AC44" s="170">
        <v>0</v>
      </c>
      <c r="AD44" s="209">
        <v>50</v>
      </c>
      <c r="AE44" s="194">
        <v>10109</v>
      </c>
      <c r="AF44" s="209"/>
      <c r="AG44" s="194"/>
      <c r="AH44" s="209"/>
      <c r="AI44" s="194"/>
      <c r="AJ44" s="233">
        <f t="shared" si="6"/>
        <v>50</v>
      </c>
      <c r="AK44" s="170">
        <f t="shared" si="6"/>
        <v>10109</v>
      </c>
      <c r="AL44" s="272">
        <v>0</v>
      </c>
      <c r="AM44" s="212">
        <v>0</v>
      </c>
      <c r="AN44" s="269">
        <v>50</v>
      </c>
      <c r="AO44" s="217">
        <f t="shared" si="2"/>
        <v>10109</v>
      </c>
      <c r="AP44" s="232"/>
      <c r="AQ44" s="229"/>
      <c r="AR44" s="212">
        <v>202.18</v>
      </c>
      <c r="AS44" s="212">
        <f t="shared" si="3"/>
        <v>0</v>
      </c>
      <c r="AT44" s="227">
        <f t="shared" si="4"/>
        <v>50</v>
      </c>
      <c r="AU44" s="228">
        <f t="shared" si="5"/>
        <v>10109</v>
      </c>
      <c r="AV44" s="97">
        <v>50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 t="shared" si="4"/>
        <v>110</v>
      </c>
      <c r="AU45" s="228">
        <f t="shared" si="5"/>
        <v>22239.8</v>
      </c>
      <c r="AV45" s="97">
        <v>110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 t="shared" si="4"/>
        <v>105</v>
      </c>
      <c r="AU46" s="228">
        <f t="shared" si="5"/>
        <v>21228.9</v>
      </c>
      <c r="AV46" s="97"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f>AN47+AP47-AQ47</f>
        <v>80</v>
      </c>
      <c r="AU47" s="228">
        <f t="shared" si="5"/>
        <v>16174.400000000001</v>
      </c>
      <c r="AV47" s="97"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f t="shared" si="4"/>
        <v>95</v>
      </c>
      <c r="AU48" s="228">
        <f t="shared" si="5"/>
        <v>19207.100000000002</v>
      </c>
      <c r="AV48" s="97"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f t="shared" si="4"/>
        <v>20</v>
      </c>
      <c r="AU49" s="228">
        <f t="shared" si="5"/>
        <v>3920</v>
      </c>
      <c r="AV49" s="97"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f t="shared" si="4"/>
        <v>225</v>
      </c>
      <c r="AU50" s="228">
        <f t="shared" si="5"/>
        <v>45490.5</v>
      </c>
      <c r="AV50" s="97"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f t="shared" si="4"/>
        <v>55</v>
      </c>
      <c r="AU51" s="228">
        <f t="shared" si="5"/>
        <v>10780</v>
      </c>
      <c r="AV51" s="97"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f t="shared" si="4"/>
        <v>0</v>
      </c>
      <c r="AU52" s="170">
        <f t="shared" si="5"/>
        <v>0</v>
      </c>
      <c r="AV52" s="22">
        <v>0</v>
      </c>
    </row>
    <row r="53" spans="1:48" s="134" customFormat="1" ht="27" customHeight="1">
      <c r="A53" s="131"/>
      <c r="B53" s="132"/>
      <c r="C53" s="60"/>
      <c r="D53" s="22">
        <v>37</v>
      </c>
      <c r="E53" s="79" t="s">
        <v>24</v>
      </c>
      <c r="F53" s="53" t="s">
        <v>52</v>
      </c>
      <c r="G53" s="222" t="s">
        <v>111</v>
      </c>
      <c r="H53" s="193" t="s">
        <v>91</v>
      </c>
      <c r="I53" s="193" t="s">
        <v>91</v>
      </c>
      <c r="J53" s="193">
        <v>2016</v>
      </c>
      <c r="K53" s="193">
        <v>2</v>
      </c>
      <c r="L53" s="243">
        <v>199.06</v>
      </c>
      <c r="M53" s="242">
        <f t="shared" si="0"/>
        <v>4032</v>
      </c>
      <c r="N53" s="243">
        <f t="shared" si="1"/>
        <v>802609.92</v>
      </c>
      <c r="O53" s="193">
        <v>4130</v>
      </c>
      <c r="P53" s="243">
        <v>1054554.2</v>
      </c>
      <c r="Q53" s="193"/>
      <c r="R53" s="243"/>
      <c r="S53" s="193"/>
      <c r="T53" s="243"/>
      <c r="U53" s="203" t="s">
        <v>112</v>
      </c>
      <c r="V53" s="115">
        <v>1583</v>
      </c>
      <c r="W53" s="114">
        <v>43082</v>
      </c>
      <c r="X53" s="193" t="s">
        <v>113</v>
      </c>
      <c r="Y53" s="200">
        <v>43109</v>
      </c>
      <c r="Z53" s="193" t="s">
        <v>110</v>
      </c>
      <c r="AA53" s="200">
        <v>43111</v>
      </c>
      <c r="AB53" s="22">
        <v>0</v>
      </c>
      <c r="AC53" s="170">
        <v>0</v>
      </c>
      <c r="AD53" s="209">
        <v>490</v>
      </c>
      <c r="AE53" s="194">
        <v>99068.2</v>
      </c>
      <c r="AF53" s="209"/>
      <c r="AG53" s="194"/>
      <c r="AH53" s="209"/>
      <c r="AI53" s="194"/>
      <c r="AJ53" s="233">
        <f t="shared" si="6"/>
        <v>490</v>
      </c>
      <c r="AK53" s="170">
        <f t="shared" si="6"/>
        <v>99068.2</v>
      </c>
      <c r="AL53" s="272">
        <f>135+130+130</f>
        <v>395</v>
      </c>
      <c r="AM53" s="212">
        <f>AL53*AR53</f>
        <v>79861.100000000006</v>
      </c>
      <c r="AN53" s="269">
        <v>95</v>
      </c>
      <c r="AO53" s="217">
        <f t="shared" si="2"/>
        <v>19207.099999999991</v>
      </c>
      <c r="AP53" s="232"/>
      <c r="AQ53" s="229"/>
      <c r="AR53" s="212">
        <v>202.18</v>
      </c>
      <c r="AS53" s="212">
        <f t="shared" si="3"/>
        <v>0</v>
      </c>
      <c r="AT53" s="227">
        <f t="shared" si="4"/>
        <v>95</v>
      </c>
      <c r="AU53" s="228">
        <f t="shared" si="5"/>
        <v>19207.100000000002</v>
      </c>
      <c r="AV53" s="97">
        <v>95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 t="shared" si="4"/>
        <v>195</v>
      </c>
      <c r="AU54" s="228">
        <f t="shared" si="5"/>
        <v>39425.1</v>
      </c>
      <c r="AV54" s="97">
        <v>195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f t="shared" si="4"/>
        <v>170</v>
      </c>
      <c r="AU55" s="228">
        <f t="shared" si="5"/>
        <v>34370.6</v>
      </c>
      <c r="AV55" s="97"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f t="shared" si="4"/>
        <v>320</v>
      </c>
      <c r="AU56" s="228">
        <f t="shared" si="5"/>
        <v>64697.600000000006</v>
      </c>
      <c r="AV56" s="97"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f t="shared" si="4"/>
        <v>15</v>
      </c>
      <c r="AU57" s="228">
        <f t="shared" si="5"/>
        <v>3032.7000000000003</v>
      </c>
      <c r="AV57" s="97"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f t="shared" si="4"/>
        <v>170</v>
      </c>
      <c r="AU58" s="228">
        <f t="shared" si="5"/>
        <v>34370.6</v>
      </c>
      <c r="AV58" s="97"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f t="shared" si="4"/>
        <v>665</v>
      </c>
      <c r="AU59" s="228">
        <f t="shared" si="5"/>
        <v>134449.70000000001</v>
      </c>
      <c r="AV59" s="97"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f t="shared" si="4"/>
        <v>335</v>
      </c>
      <c r="AU60" s="228">
        <f t="shared" si="5"/>
        <v>67730.3</v>
      </c>
      <c r="AV60" s="97"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f t="shared" si="4"/>
        <v>155</v>
      </c>
      <c r="AU61" s="228">
        <f t="shared" si="5"/>
        <v>31337.9</v>
      </c>
      <c r="AV61" s="97"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f t="shared" si="4"/>
        <v>340</v>
      </c>
      <c r="AU62" s="228">
        <f t="shared" si="5"/>
        <v>68741.2</v>
      </c>
      <c r="AV62" s="97"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f t="shared" si="4"/>
        <v>245</v>
      </c>
      <c r="AU63" s="228">
        <f t="shared" si="5"/>
        <v>49534.1</v>
      </c>
      <c r="AV63" s="97"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f t="shared" si="4"/>
        <v>555</v>
      </c>
      <c r="AU64" s="228">
        <f t="shared" si="5"/>
        <v>112209.90000000001</v>
      </c>
      <c r="AV64" s="97"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f t="shared" si="4"/>
        <v>45</v>
      </c>
      <c r="AU65" s="228">
        <f t="shared" si="5"/>
        <v>8820</v>
      </c>
      <c r="AV65" s="97"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f t="shared" si="4"/>
        <v>55</v>
      </c>
      <c r="AU66" s="228">
        <f t="shared" si="5"/>
        <v>11119.9</v>
      </c>
      <c r="AV66" s="97"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f t="shared" si="4"/>
        <v>210</v>
      </c>
      <c r="AU67" s="228">
        <f t="shared" si="5"/>
        <v>42457.8</v>
      </c>
      <c r="AV67" s="97"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f t="shared" si="4"/>
        <v>105</v>
      </c>
      <c r="AU68" s="228">
        <f t="shared" si="5"/>
        <v>21228.9</v>
      </c>
      <c r="AV68" s="97"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f t="shared" si="4"/>
        <v>30</v>
      </c>
      <c r="AU69" s="228">
        <f t="shared" si="5"/>
        <v>5880</v>
      </c>
      <c r="AV69" s="97"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f t="shared" si="4"/>
        <v>0</v>
      </c>
      <c r="AU70" s="170">
        <f t="shared" si="5"/>
        <v>0</v>
      </c>
      <c r="AV70" s="22"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f t="shared" si="4"/>
        <v>0</v>
      </c>
      <c r="AU71" s="170">
        <f t="shared" si="5"/>
        <v>0</v>
      </c>
      <c r="AV71" s="22"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f t="shared" si="4"/>
        <v>0</v>
      </c>
      <c r="AU72" s="170">
        <f t="shared" si="5"/>
        <v>0</v>
      </c>
      <c r="AV72" s="22"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f t="shared" si="4"/>
        <v>10</v>
      </c>
      <c r="AU73" s="228">
        <f t="shared" si="5"/>
        <v>2100.4</v>
      </c>
      <c r="AV73" s="97"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f t="shared" si="4"/>
        <v>5</v>
      </c>
      <c r="AU74" s="228">
        <f t="shared" si="5"/>
        <v>1019.35</v>
      </c>
      <c r="AV74" s="97"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f t="shared" si="4"/>
        <v>8</v>
      </c>
      <c r="AU75" s="228">
        <f t="shared" si="5"/>
        <v>2388</v>
      </c>
      <c r="AV75" s="97"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f t="shared" si="4"/>
        <v>34</v>
      </c>
      <c r="AU76" s="228">
        <f t="shared" si="5"/>
        <v>10149</v>
      </c>
      <c r="AV76" s="97"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f t="shared" si="4"/>
        <v>270</v>
      </c>
      <c r="AU77" s="228">
        <f t="shared" si="5"/>
        <v>80595</v>
      </c>
      <c r="AV77" s="97"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f t="shared" si="4"/>
        <v>40</v>
      </c>
      <c r="AU78" s="228">
        <f t="shared" si="5"/>
        <v>11940</v>
      </c>
      <c r="AV78" s="97"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f t="shared" si="4"/>
        <v>56</v>
      </c>
      <c r="AU79" s="228">
        <f t="shared" si="5"/>
        <v>16794.399999999998</v>
      </c>
      <c r="AV79" s="97">
        <v>56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f t="shared" si="4"/>
        <v>510</v>
      </c>
      <c r="AU80" s="228">
        <f t="shared" si="5"/>
        <v>152949</v>
      </c>
      <c r="AV80" s="97"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 t="shared" si="4"/>
        <v>6167</v>
      </c>
      <c r="AU81" s="228">
        <f t="shared" si="5"/>
        <v>95280.15</v>
      </c>
      <c r="AV81" s="233">
        <f>AT81</f>
        <v>6167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f t="shared" si="4"/>
        <v>144</v>
      </c>
      <c r="AU82" s="228">
        <f t="shared" si="5"/>
        <v>2142.7200000000003</v>
      </c>
      <c r="AV82" s="97"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f t="shared" si="4"/>
        <v>76</v>
      </c>
      <c r="AU83" s="228">
        <f t="shared" si="5"/>
        <v>1130.8800000000001</v>
      </c>
      <c r="AV83" s="97"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1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f t="shared" si="4"/>
        <v>4</v>
      </c>
      <c r="AU84" s="228">
        <f t="shared" si="5"/>
        <v>9062.24</v>
      </c>
      <c r="AV84" s="97"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2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1"/>
        <v>4531.12</v>
      </c>
      <c r="AP85" s="232"/>
      <c r="AQ85" s="229"/>
      <c r="AR85" s="212">
        <v>2265.56</v>
      </c>
      <c r="AS85" s="212">
        <f t="shared" ref="AS85:AS90" si="13">AQ85*AR85</f>
        <v>0</v>
      </c>
      <c r="AT85" s="227">
        <f t="shared" ref="AT85:AT90" si="14">AN85+AP85-AQ85</f>
        <v>2</v>
      </c>
      <c r="AU85" s="228">
        <f t="shared" ref="AU85:AU90" si="15">AT85*AR85</f>
        <v>4531.12</v>
      </c>
      <c r="AV85" s="97"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2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1"/>
        <v>774.48</v>
      </c>
      <c r="AP86" s="232"/>
      <c r="AQ86" s="229"/>
      <c r="AR86" s="212">
        <v>55.32</v>
      </c>
      <c r="AS86" s="212">
        <f t="shared" si="13"/>
        <v>0</v>
      </c>
      <c r="AT86" s="227">
        <f t="shared" si="14"/>
        <v>14</v>
      </c>
      <c r="AU86" s="228">
        <f t="shared" si="15"/>
        <v>774.48</v>
      </c>
      <c r="AV86" s="97"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2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1"/>
        <v>1438.32</v>
      </c>
      <c r="AP87" s="232"/>
      <c r="AQ87" s="229"/>
      <c r="AR87" s="212">
        <v>55.32</v>
      </c>
      <c r="AS87" s="212">
        <f t="shared" si="13"/>
        <v>0</v>
      </c>
      <c r="AT87" s="227">
        <f t="shared" si="14"/>
        <v>26</v>
      </c>
      <c r="AU87" s="228">
        <f t="shared" si="15"/>
        <v>1438.32</v>
      </c>
      <c r="AV87" s="97"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2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1"/>
        <v>4549.08</v>
      </c>
      <c r="AP88" s="232"/>
      <c r="AQ88" s="229"/>
      <c r="AR88" s="212">
        <v>758.18</v>
      </c>
      <c r="AS88" s="212">
        <f t="shared" si="13"/>
        <v>0</v>
      </c>
      <c r="AT88" s="227">
        <f t="shared" si="14"/>
        <v>6</v>
      </c>
      <c r="AU88" s="228">
        <f t="shared" si="15"/>
        <v>4549.08</v>
      </c>
      <c r="AV88" s="97"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2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1"/>
        <v>7581.8</v>
      </c>
      <c r="AP89" s="232"/>
      <c r="AQ89" s="229"/>
      <c r="AR89" s="212">
        <v>758.18</v>
      </c>
      <c r="AS89" s="212">
        <f t="shared" si="13"/>
        <v>0</v>
      </c>
      <c r="AT89" s="227">
        <f t="shared" si="14"/>
        <v>10</v>
      </c>
      <c r="AU89" s="228">
        <f t="shared" si="15"/>
        <v>7581.7999999999993</v>
      </c>
      <c r="AV89" s="97"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2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1"/>
        <v>4040.8</v>
      </c>
      <c r="AP90" s="232"/>
      <c r="AQ90" s="229"/>
      <c r="AR90" s="212">
        <v>2020.4</v>
      </c>
      <c r="AS90" s="212">
        <f t="shared" si="13"/>
        <v>0</v>
      </c>
      <c r="AT90" s="227">
        <f t="shared" si="14"/>
        <v>2</v>
      </c>
      <c r="AU90" s="228">
        <f t="shared" si="15"/>
        <v>4040.8</v>
      </c>
      <c r="AV90" s="97"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12265</v>
      </c>
      <c r="AU91" s="228">
        <f>SUM(AU17:AU90)</f>
        <v>1485872.38</v>
      </c>
      <c r="AV91" s="236">
        <f>SUM(AV17:AV90)</f>
        <v>12265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290"/>
      <c r="AR99" s="255"/>
      <c r="AS99" s="255"/>
      <c r="AT99" s="290"/>
      <c r="AU99" s="290"/>
      <c r="AV99" s="290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290"/>
      <c r="AR100" s="255"/>
      <c r="AS100" s="255"/>
      <c r="AT100" s="290"/>
      <c r="AU100" s="290"/>
      <c r="AV100" s="290"/>
    </row>
  </sheetData>
  <mergeCells count="40">
    <mergeCell ref="D91:F91"/>
    <mergeCell ref="H98:J98"/>
    <mergeCell ref="E100:F100"/>
    <mergeCell ref="D7:AV7"/>
    <mergeCell ref="D8:AV8"/>
    <mergeCell ref="D9:AV9"/>
    <mergeCell ref="D10:AV10"/>
    <mergeCell ref="D11:AV11"/>
    <mergeCell ref="AQ14:AS15"/>
    <mergeCell ref="AT14:AV14"/>
    <mergeCell ref="O15:P15"/>
    <mergeCell ref="Q15:R15"/>
    <mergeCell ref="S15:T15"/>
    <mergeCell ref="AD15:AE15"/>
    <mergeCell ref="AF15:AG15"/>
    <mergeCell ref="AH15:AI15"/>
    <mergeCell ref="X14:Y15"/>
    <mergeCell ref="AT15:AU15"/>
    <mergeCell ref="AB14:AC15"/>
    <mergeCell ref="AD14:AI14"/>
    <mergeCell ref="AJ14:AK15"/>
    <mergeCell ref="AL14:AM15"/>
    <mergeCell ref="AN14:AO15"/>
    <mergeCell ref="AP14:AP15"/>
    <mergeCell ref="E6:AT6"/>
    <mergeCell ref="Z14:AA1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M14:N15"/>
    <mergeCell ref="O14:T14"/>
    <mergeCell ref="U14:U16"/>
    <mergeCell ref="V14:W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31" zoomScale="70" zoomScaleSheetLayoutView="70" workbookViewId="0">
      <selection activeCell="AY14" sqref="AY14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372"/>
      <c r="AR1" s="255"/>
      <c r="AS1" s="255"/>
      <c r="AT1" s="372"/>
      <c r="AU1" s="372"/>
      <c r="AV1" s="37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7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37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217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372"/>
      <c r="AR12" s="255"/>
      <c r="AS12" s="255"/>
      <c r="AT12" s="373"/>
      <c r="AU12" s="373"/>
      <c r="AV12" s="37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219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218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21.7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71" t="s">
        <v>77</v>
      </c>
      <c r="N16" s="371" t="s">
        <v>78</v>
      </c>
      <c r="O16" s="371" t="s">
        <v>77</v>
      </c>
      <c r="P16" s="371" t="s">
        <v>78</v>
      </c>
      <c r="Q16" s="371" t="s">
        <v>77</v>
      </c>
      <c r="R16" s="371" t="s">
        <v>78</v>
      </c>
      <c r="S16" s="371" t="s">
        <v>77</v>
      </c>
      <c r="T16" s="37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70" t="s">
        <v>77</v>
      </c>
      <c r="AE16" s="370" t="s">
        <v>78</v>
      </c>
      <c r="AF16" s="205" t="s">
        <v>77</v>
      </c>
      <c r="AG16" s="205" t="s">
        <v>78</v>
      </c>
      <c r="AH16" s="370" t="s">
        <v>77</v>
      </c>
      <c r="AI16" s="370" t="s">
        <v>78</v>
      </c>
      <c r="AJ16" s="97" t="s">
        <v>96</v>
      </c>
      <c r="AK16" s="96" t="s">
        <v>19</v>
      </c>
      <c r="AL16" s="368" t="s">
        <v>96</v>
      </c>
      <c r="AM16" s="368" t="s">
        <v>19</v>
      </c>
      <c r="AN16" s="216" t="s">
        <v>96</v>
      </c>
      <c r="AO16" s="216" t="s">
        <v>19</v>
      </c>
      <c r="AP16" s="207" t="s">
        <v>96</v>
      </c>
      <c r="AQ16" s="368" t="s">
        <v>96</v>
      </c>
      <c r="AR16" s="368" t="s">
        <v>107</v>
      </c>
      <c r="AS16" s="368" t="s">
        <v>19</v>
      </c>
      <c r="AT16" s="369" t="s">
        <v>96</v>
      </c>
      <c r="AU16" s="369" t="s">
        <v>19</v>
      </c>
      <c r="AV16" s="361" t="s">
        <v>108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0</v>
      </c>
      <c r="AO17" s="217">
        <v>129.16</v>
      </c>
      <c r="AP17" s="232"/>
      <c r="AQ17" s="229"/>
      <c r="AR17" s="212">
        <v>32.29</v>
      </c>
      <c r="AS17" s="212">
        <f>AQ17*AR17</f>
        <v>0</v>
      </c>
      <c r="AT17" s="227">
        <v>0</v>
      </c>
      <c r="AU17" s="228">
        <f>AT17*AR17</f>
        <v>0</v>
      </c>
      <c r="AV17" s="362"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363"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5">AD19+AF19+AH19</f>
        <v>0</v>
      </c>
      <c r="AK19" s="170">
        <f t="shared" si="5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364"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5"/>
        <v>0</v>
      </c>
      <c r="AK20" s="170">
        <f t="shared" si="5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97"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5"/>
        <v>0</v>
      </c>
      <c r="AK21" s="170">
        <f t="shared" si="5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364"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5"/>
        <v>0</v>
      </c>
      <c r="AK22" s="170">
        <f t="shared" si="5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v>5</v>
      </c>
      <c r="AU22" s="228">
        <f t="shared" si="4"/>
        <v>3934.5</v>
      </c>
      <c r="AV22" s="97"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5"/>
        <v>0</v>
      </c>
      <c r="AK23" s="170">
        <f t="shared" si="5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97"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5"/>
        <v>0</v>
      </c>
      <c r="AK24" s="170">
        <f t="shared" si="5"/>
        <v>0</v>
      </c>
      <c r="AL24" s="272">
        <f>60+60+30+30</f>
        <v>180</v>
      </c>
      <c r="AM24" s="212">
        <f>AL24*AR24</f>
        <v>25070.400000000001</v>
      </c>
      <c r="AN24" s="269">
        <v>0</v>
      </c>
      <c r="AO24" s="217">
        <f>AN24*AR24</f>
        <v>0</v>
      </c>
      <c r="AP24" s="232"/>
      <c r="AQ24" s="229"/>
      <c r="AR24" s="212">
        <v>139.28</v>
      </c>
      <c r="AS24" s="212">
        <f t="shared" si="3"/>
        <v>0</v>
      </c>
      <c r="AT24" s="227">
        <v>0</v>
      </c>
      <c r="AU24" s="228">
        <f t="shared" si="4"/>
        <v>0</v>
      </c>
      <c r="AV24" s="97"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5"/>
        <v>40</v>
      </c>
      <c r="AK25" s="170">
        <f t="shared" si="5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10</v>
      </c>
      <c r="AU25" s="228">
        <f t="shared" si="4"/>
        <v>1392.8</v>
      </c>
      <c r="AV25" s="97">
        <v>10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5"/>
        <v>0</v>
      </c>
      <c r="AK26" s="170">
        <f t="shared" si="5"/>
        <v>0</v>
      </c>
      <c r="AL26" s="272">
        <f>60+60+30+30</f>
        <v>180</v>
      </c>
      <c r="AM26" s="212">
        <f>AL26*AR26</f>
        <v>94469.400000000009</v>
      </c>
      <c r="AN26" s="269">
        <v>0</v>
      </c>
      <c r="AO26" s="217">
        <f>AN26*AR26</f>
        <v>0</v>
      </c>
      <c r="AP26" s="232"/>
      <c r="AQ26" s="229"/>
      <c r="AR26" s="212">
        <v>524.83000000000004</v>
      </c>
      <c r="AS26" s="212">
        <f t="shared" si="3"/>
        <v>0</v>
      </c>
      <c r="AT26" s="227">
        <v>0</v>
      </c>
      <c r="AU26" s="228">
        <f t="shared" si="4"/>
        <v>0</v>
      </c>
      <c r="AV26" s="97"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5"/>
        <v>39</v>
      </c>
      <c r="AK27" s="170">
        <f t="shared" si="5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9</v>
      </c>
      <c r="AU27" s="228">
        <f t="shared" si="4"/>
        <v>4723.47</v>
      </c>
      <c r="AV27" s="97">
        <v>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149" t="s">
        <v>44</v>
      </c>
      <c r="G28" s="222" t="s">
        <v>116</v>
      </c>
      <c r="H28" s="193" t="s">
        <v>91</v>
      </c>
      <c r="I28" s="193" t="s">
        <v>91</v>
      </c>
      <c r="J28" s="193"/>
      <c r="K28" s="193"/>
      <c r="L28" s="243"/>
      <c r="M28" s="242">
        <f t="shared" si="0"/>
        <v>0</v>
      </c>
      <c r="N28" s="243">
        <f t="shared" si="1"/>
        <v>0</v>
      </c>
      <c r="O28" s="193"/>
      <c r="P28" s="243"/>
      <c r="Q28" s="193"/>
      <c r="R28" s="243"/>
      <c r="S28" s="193"/>
      <c r="T28" s="243"/>
      <c r="U28" s="203"/>
      <c r="V28" s="115">
        <v>1476</v>
      </c>
      <c r="W28" s="114">
        <v>43066</v>
      </c>
      <c r="X28" s="193" t="s">
        <v>201</v>
      </c>
      <c r="Y28" s="200">
        <v>43068</v>
      </c>
      <c r="Z28" s="193" t="s">
        <v>210</v>
      </c>
      <c r="AA28" s="200">
        <v>43073</v>
      </c>
      <c r="AB28" s="35">
        <v>5</v>
      </c>
      <c r="AC28" s="170">
        <v>1010.9</v>
      </c>
      <c r="AD28" s="209"/>
      <c r="AE28" s="194"/>
      <c r="AF28" s="209"/>
      <c r="AG28" s="194"/>
      <c r="AH28" s="209"/>
      <c r="AI28" s="194"/>
      <c r="AJ28" s="233">
        <f t="shared" si="5"/>
        <v>0</v>
      </c>
      <c r="AK28" s="170">
        <f t="shared" si="5"/>
        <v>0</v>
      </c>
      <c r="AL28" s="272">
        <v>5</v>
      </c>
      <c r="AM28" s="212">
        <v>1010.9</v>
      </c>
      <c r="AN28" s="269">
        <v>0</v>
      </c>
      <c r="AO28" s="217">
        <f>AN28*AR28</f>
        <v>0</v>
      </c>
      <c r="AP28" s="232"/>
      <c r="AQ28" s="229"/>
      <c r="AR28" s="212">
        <v>202.18</v>
      </c>
      <c r="AS28" s="212">
        <f t="shared" si="3"/>
        <v>0</v>
      </c>
      <c r="AT28" s="227">
        <v>0</v>
      </c>
      <c r="AU28" s="228">
        <f t="shared" si="4"/>
        <v>0</v>
      </c>
      <c r="AV28" s="97"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149" t="s">
        <v>44</v>
      </c>
      <c r="G29" s="222" t="s">
        <v>116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/>
      <c r="V29" s="115" t="s">
        <v>59</v>
      </c>
      <c r="W29" s="114">
        <v>43061</v>
      </c>
      <c r="X29" s="193"/>
      <c r="Y29" s="193"/>
      <c r="Z29" s="193"/>
      <c r="AA29" s="193"/>
      <c r="AB29" s="35">
        <v>205</v>
      </c>
      <c r="AC29" s="170">
        <v>41446.9</v>
      </c>
      <c r="AD29" s="209"/>
      <c r="AE29" s="194"/>
      <c r="AF29" s="209"/>
      <c r="AG29" s="194"/>
      <c r="AH29" s="209"/>
      <c r="AI29" s="194"/>
      <c r="AJ29" s="233">
        <f t="shared" si="5"/>
        <v>0</v>
      </c>
      <c r="AK29" s="170">
        <f t="shared" si="5"/>
        <v>0</v>
      </c>
      <c r="AL29" s="272">
        <v>205</v>
      </c>
      <c r="AM29" s="212">
        <f>AL29*AR29</f>
        <v>41446.9</v>
      </c>
      <c r="AN29" s="269">
        <v>0</v>
      </c>
      <c r="AO29" s="217">
        <f>AN29*AR29</f>
        <v>0</v>
      </c>
      <c r="AP29" s="232"/>
      <c r="AQ29" s="229"/>
      <c r="AR29" s="212">
        <v>202.18</v>
      </c>
      <c r="AS29" s="212">
        <f t="shared" si="3"/>
        <v>0</v>
      </c>
      <c r="AT29" s="227">
        <v>0</v>
      </c>
      <c r="AU29" s="228">
        <f t="shared" si="4"/>
        <v>0</v>
      </c>
      <c r="AV29" s="97"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5"/>
        <v>0</v>
      </c>
      <c r="AK30" s="170">
        <f t="shared" si="5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2"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5"/>
        <v>0</v>
      </c>
      <c r="AK31" s="170">
        <f t="shared" si="5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6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2"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5"/>
        <v>0</v>
      </c>
      <c r="AK32" s="170">
        <f t="shared" si="5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6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2"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5"/>
        <v>0</v>
      </c>
      <c r="AK33" s="170">
        <f t="shared" si="5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v>52</v>
      </c>
      <c r="AU33" s="228">
        <f t="shared" si="4"/>
        <v>15522</v>
      </c>
      <c r="AV33" s="97"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5"/>
        <v>0</v>
      </c>
      <c r="AK34" s="170">
        <f t="shared" si="5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2"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5"/>
        <v>0</v>
      </c>
      <c r="AK35" s="170">
        <f t="shared" si="5"/>
        <v>0</v>
      </c>
      <c r="AL35" s="272">
        <f>20+60+60</f>
        <v>140</v>
      </c>
      <c r="AM35" s="212">
        <f>5998+17994</f>
        <v>23992</v>
      </c>
      <c r="AN35" s="269">
        <v>22</v>
      </c>
      <c r="AO35" s="217">
        <f t="shared" si="2"/>
        <v>24591.800000000003</v>
      </c>
      <c r="AP35" s="232"/>
      <c r="AQ35" s="229"/>
      <c r="AR35" s="212">
        <v>299.89999999999998</v>
      </c>
      <c r="AS35" s="212">
        <f t="shared" si="3"/>
        <v>0</v>
      </c>
      <c r="AT35" s="227">
        <v>0</v>
      </c>
      <c r="AU35" s="228">
        <f>AT35*AR35</f>
        <v>0</v>
      </c>
      <c r="AV35" s="97"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5"/>
        <v>0</v>
      </c>
      <c r="AK36" s="170">
        <f t="shared" si="5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2"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5"/>
        <v>0</v>
      </c>
      <c r="AK37" s="170">
        <f t="shared" si="5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97"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5"/>
        <v>15</v>
      </c>
      <c r="AK38" s="170">
        <f t="shared" si="5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97"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161" t="s">
        <v>48</v>
      </c>
      <c r="G39" s="222" t="s">
        <v>152</v>
      </c>
      <c r="H39" s="193" t="s">
        <v>91</v>
      </c>
      <c r="I39" s="193" t="s">
        <v>91</v>
      </c>
      <c r="J39" s="193"/>
      <c r="K39" s="193"/>
      <c r="L39" s="243"/>
      <c r="M39" s="242">
        <f t="shared" si="0"/>
        <v>0</v>
      </c>
      <c r="N39" s="243">
        <f t="shared" si="1"/>
        <v>0</v>
      </c>
      <c r="O39" s="193"/>
      <c r="P39" s="243"/>
      <c r="Q39" s="193"/>
      <c r="R39" s="243"/>
      <c r="S39" s="193"/>
      <c r="T39" s="243"/>
      <c r="U39" s="203" t="s">
        <v>204</v>
      </c>
      <c r="V39" s="115">
        <v>1405</v>
      </c>
      <c r="W39" s="114">
        <v>43052</v>
      </c>
      <c r="X39" s="193"/>
      <c r="Y39" s="193"/>
      <c r="Z39" s="193"/>
      <c r="AA39" s="193"/>
      <c r="AB39" s="35">
        <v>120</v>
      </c>
      <c r="AC39" s="170">
        <v>58734</v>
      </c>
      <c r="AD39" s="209"/>
      <c r="AE39" s="194"/>
      <c r="AF39" s="209"/>
      <c r="AG39" s="194"/>
      <c r="AH39" s="209"/>
      <c r="AI39" s="194"/>
      <c r="AJ39" s="233">
        <f t="shared" si="5"/>
        <v>0</v>
      </c>
      <c r="AK39" s="170">
        <f t="shared" si="5"/>
        <v>0</v>
      </c>
      <c r="AL39" s="272">
        <f>15+30+10+25+20+20</f>
        <v>120</v>
      </c>
      <c r="AM39" s="212">
        <f>7341.75+14683.5+4894.5+12236.25+9789</f>
        <v>48945</v>
      </c>
      <c r="AN39" s="269">
        <v>0</v>
      </c>
      <c r="AO39" s="217">
        <f t="shared" si="2"/>
        <v>9789</v>
      </c>
      <c r="AP39" s="232"/>
      <c r="AQ39" s="229"/>
      <c r="AR39" s="212">
        <v>489.45</v>
      </c>
      <c r="AS39" s="212">
        <f t="shared" si="3"/>
        <v>0</v>
      </c>
      <c r="AT39" s="227">
        <v>0</v>
      </c>
      <c r="AU39" s="228">
        <f t="shared" si="4"/>
        <v>0</v>
      </c>
      <c r="AV39" s="97"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5"/>
        <v>0</v>
      </c>
      <c r="AK40" s="170">
        <f t="shared" si="5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2"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5"/>
        <v>65</v>
      </c>
      <c r="AK41" s="170">
        <f t="shared" si="5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v>35</v>
      </c>
      <c r="AU41" s="228">
        <f t="shared" si="4"/>
        <v>17130.75</v>
      </c>
      <c r="AV41" s="97">
        <v>35</v>
      </c>
    </row>
    <row r="42" spans="1:48" s="134" customFormat="1" ht="27" customHeight="1">
      <c r="A42" s="131"/>
      <c r="B42" s="132"/>
      <c r="C42" s="60"/>
      <c r="D42" s="22">
        <v>26</v>
      </c>
      <c r="E42" s="79" t="s">
        <v>24</v>
      </c>
      <c r="F42" s="149" t="s">
        <v>44</v>
      </c>
      <c r="G42" s="222" t="s">
        <v>116</v>
      </c>
      <c r="H42" s="193" t="s">
        <v>91</v>
      </c>
      <c r="I42" s="193" t="s">
        <v>91</v>
      </c>
      <c r="J42" s="193">
        <v>1750</v>
      </c>
      <c r="K42" s="193">
        <v>2</v>
      </c>
      <c r="L42" s="243">
        <v>199.06</v>
      </c>
      <c r="M42" s="242">
        <f t="shared" si="0"/>
        <v>3500</v>
      </c>
      <c r="N42" s="243">
        <f t="shared" si="1"/>
        <v>696710</v>
      </c>
      <c r="O42" s="193">
        <v>1000</v>
      </c>
      <c r="P42" s="243">
        <v>255340</v>
      </c>
      <c r="Q42" s="193"/>
      <c r="R42" s="243"/>
      <c r="S42" s="193">
        <v>368</v>
      </c>
      <c r="T42" s="243">
        <v>73254.080000000002</v>
      </c>
      <c r="U42" s="203" t="s">
        <v>119</v>
      </c>
      <c r="V42" s="115">
        <v>1583</v>
      </c>
      <c r="W42" s="114">
        <v>43082</v>
      </c>
      <c r="X42" s="193" t="s">
        <v>113</v>
      </c>
      <c r="Y42" s="200">
        <v>43109</v>
      </c>
      <c r="Z42" s="193" t="s">
        <v>110</v>
      </c>
      <c r="AA42" s="200">
        <v>43111</v>
      </c>
      <c r="AB42" s="22">
        <v>0</v>
      </c>
      <c r="AC42" s="170">
        <v>0</v>
      </c>
      <c r="AD42" s="209">
        <v>50</v>
      </c>
      <c r="AE42" s="194">
        <v>10109</v>
      </c>
      <c r="AF42" s="209"/>
      <c r="AG42" s="194"/>
      <c r="AH42" s="209"/>
      <c r="AI42" s="194"/>
      <c r="AJ42" s="233">
        <f t="shared" si="5"/>
        <v>50</v>
      </c>
      <c r="AK42" s="170">
        <f t="shared" si="5"/>
        <v>10109</v>
      </c>
      <c r="AL42" s="272">
        <v>10</v>
      </c>
      <c r="AM42" s="212">
        <f>AL42*AR42</f>
        <v>2021.8000000000002</v>
      </c>
      <c r="AN42" s="269">
        <v>40</v>
      </c>
      <c r="AO42" s="217">
        <f t="shared" si="2"/>
        <v>8087.2</v>
      </c>
      <c r="AP42" s="232"/>
      <c r="AQ42" s="229"/>
      <c r="AR42" s="212">
        <v>202.18</v>
      </c>
      <c r="AS42" s="212">
        <f t="shared" si="3"/>
        <v>0</v>
      </c>
      <c r="AT42" s="227">
        <v>0</v>
      </c>
      <c r="AU42" s="228">
        <f t="shared" si="4"/>
        <v>0</v>
      </c>
      <c r="AV42" s="97">
        <v>0</v>
      </c>
    </row>
    <row r="43" spans="1:48" s="139" customFormat="1" ht="27" customHeight="1">
      <c r="A43" s="136"/>
      <c r="B43" s="137"/>
      <c r="C43" s="60"/>
      <c r="D43" s="22">
        <v>27</v>
      </c>
      <c r="E43" s="79" t="s">
        <v>24</v>
      </c>
      <c r="F43" s="149" t="s">
        <v>54</v>
      </c>
      <c r="G43" s="222" t="s">
        <v>116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119</v>
      </c>
      <c r="V43" s="115">
        <v>1745</v>
      </c>
      <c r="W43" s="114">
        <v>43096</v>
      </c>
      <c r="X43" s="193" t="s">
        <v>117</v>
      </c>
      <c r="Y43" s="200">
        <v>43109</v>
      </c>
      <c r="Z43" s="193" t="s">
        <v>118</v>
      </c>
      <c r="AA43" s="200">
        <v>43133</v>
      </c>
      <c r="AB43" s="22">
        <v>0</v>
      </c>
      <c r="AC43" s="170">
        <v>0</v>
      </c>
      <c r="AD43" s="209">
        <v>45</v>
      </c>
      <c r="AE43" s="194">
        <v>9098.1</v>
      </c>
      <c r="AF43" s="209"/>
      <c r="AG43" s="194"/>
      <c r="AH43" s="209"/>
      <c r="AI43" s="194"/>
      <c r="AJ43" s="233">
        <f t="shared" si="5"/>
        <v>45</v>
      </c>
      <c r="AK43" s="170">
        <f t="shared" si="5"/>
        <v>9098.1</v>
      </c>
      <c r="AL43" s="272">
        <v>0</v>
      </c>
      <c r="AM43" s="212">
        <v>0</v>
      </c>
      <c r="AN43" s="269">
        <v>45</v>
      </c>
      <c r="AO43" s="217">
        <f t="shared" si="2"/>
        <v>9098.1</v>
      </c>
      <c r="AP43" s="232"/>
      <c r="AQ43" s="229"/>
      <c r="AR43" s="212">
        <v>202.18</v>
      </c>
      <c r="AS43" s="212">
        <f t="shared" si="3"/>
        <v>0</v>
      </c>
      <c r="AT43" s="227">
        <v>0</v>
      </c>
      <c r="AU43" s="228">
        <f t="shared" si="4"/>
        <v>0</v>
      </c>
      <c r="AV43" s="97"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149" t="s">
        <v>44</v>
      </c>
      <c r="G44" s="222" t="s">
        <v>116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134</v>
      </c>
      <c r="V44" s="115">
        <v>426</v>
      </c>
      <c r="W44" s="114">
        <v>43164</v>
      </c>
      <c r="X44" s="193" t="s">
        <v>141</v>
      </c>
      <c r="Y44" s="200">
        <v>43164</v>
      </c>
      <c r="Z44" s="193" t="s">
        <v>142</v>
      </c>
      <c r="AA44" s="200">
        <v>43230</v>
      </c>
      <c r="AB44" s="22">
        <v>0</v>
      </c>
      <c r="AC44" s="170">
        <v>0</v>
      </c>
      <c r="AD44" s="209">
        <v>50</v>
      </c>
      <c r="AE44" s="194">
        <v>10109</v>
      </c>
      <c r="AF44" s="209"/>
      <c r="AG44" s="194"/>
      <c r="AH44" s="209"/>
      <c r="AI44" s="194"/>
      <c r="AJ44" s="233">
        <f t="shared" si="5"/>
        <v>50</v>
      </c>
      <c r="AK44" s="170">
        <f t="shared" si="5"/>
        <v>10109</v>
      </c>
      <c r="AL44" s="272">
        <v>0</v>
      </c>
      <c r="AM44" s="212">
        <v>0</v>
      </c>
      <c r="AN44" s="269">
        <v>50</v>
      </c>
      <c r="AO44" s="217">
        <f t="shared" si="2"/>
        <v>10109</v>
      </c>
      <c r="AP44" s="232"/>
      <c r="AQ44" s="229"/>
      <c r="AR44" s="212">
        <v>202.18</v>
      </c>
      <c r="AS44" s="212">
        <f t="shared" si="3"/>
        <v>0</v>
      </c>
      <c r="AT44" s="227">
        <v>0</v>
      </c>
      <c r="AU44" s="228">
        <f t="shared" si="4"/>
        <v>0</v>
      </c>
      <c r="AV44" s="97"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5"/>
        <v>110</v>
      </c>
      <c r="AK45" s="170">
        <f t="shared" si="5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v>25</v>
      </c>
      <c r="AU45" s="228">
        <f t="shared" si="4"/>
        <v>5054.5</v>
      </c>
      <c r="AV45" s="97">
        <v>25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5"/>
        <v>105</v>
      </c>
      <c r="AK46" s="170">
        <f t="shared" si="5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v>105</v>
      </c>
      <c r="AU46" s="228">
        <f t="shared" si="4"/>
        <v>21228.9</v>
      </c>
      <c r="AV46" s="97"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5"/>
        <v>80</v>
      </c>
      <c r="AK47" s="170">
        <f t="shared" si="5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v>80</v>
      </c>
      <c r="AU47" s="228">
        <f t="shared" si="4"/>
        <v>16174.400000000001</v>
      </c>
      <c r="AV47" s="97"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5"/>
        <v>95</v>
      </c>
      <c r="AK48" s="170">
        <f t="shared" si="5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v>95</v>
      </c>
      <c r="AU48" s="228">
        <f t="shared" si="4"/>
        <v>19207.100000000002</v>
      </c>
      <c r="AV48" s="97"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5"/>
        <v>20</v>
      </c>
      <c r="AK49" s="170">
        <f t="shared" si="5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97"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5"/>
        <v>225</v>
      </c>
      <c r="AK50" s="170">
        <f t="shared" si="5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97"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5"/>
        <v>55</v>
      </c>
      <c r="AK51" s="170">
        <f t="shared" si="5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97"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5"/>
        <v>5</v>
      </c>
      <c r="AK52" s="170">
        <f t="shared" si="5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2">
        <v>0</v>
      </c>
    </row>
    <row r="53" spans="1:48" s="134" customFormat="1" ht="27" customHeight="1">
      <c r="A53" s="131"/>
      <c r="B53" s="132"/>
      <c r="C53" s="60"/>
      <c r="D53" s="22">
        <v>37</v>
      </c>
      <c r="E53" s="79" t="s">
        <v>24</v>
      </c>
      <c r="F53" s="53" t="s">
        <v>52</v>
      </c>
      <c r="G53" s="222" t="s">
        <v>111</v>
      </c>
      <c r="H53" s="193" t="s">
        <v>91</v>
      </c>
      <c r="I53" s="193" t="s">
        <v>91</v>
      </c>
      <c r="J53" s="193">
        <v>2016</v>
      </c>
      <c r="K53" s="193">
        <v>2</v>
      </c>
      <c r="L53" s="243">
        <v>199.06</v>
      </c>
      <c r="M53" s="242">
        <f t="shared" si="0"/>
        <v>4032</v>
      </c>
      <c r="N53" s="243">
        <f t="shared" si="1"/>
        <v>802609.92</v>
      </c>
      <c r="O53" s="193">
        <v>4130</v>
      </c>
      <c r="P53" s="243">
        <v>1054554.2</v>
      </c>
      <c r="Q53" s="193"/>
      <c r="R53" s="243"/>
      <c r="S53" s="193"/>
      <c r="T53" s="243"/>
      <c r="U53" s="203" t="s">
        <v>112</v>
      </c>
      <c r="V53" s="115">
        <v>1583</v>
      </c>
      <c r="W53" s="114">
        <v>43082</v>
      </c>
      <c r="X53" s="193" t="s">
        <v>113</v>
      </c>
      <c r="Y53" s="200">
        <v>43109</v>
      </c>
      <c r="Z53" s="193" t="s">
        <v>110</v>
      </c>
      <c r="AA53" s="200">
        <v>43111</v>
      </c>
      <c r="AB53" s="22">
        <v>0</v>
      </c>
      <c r="AC53" s="170">
        <v>0</v>
      </c>
      <c r="AD53" s="209">
        <v>490</v>
      </c>
      <c r="AE53" s="194">
        <v>99068.2</v>
      </c>
      <c r="AF53" s="209"/>
      <c r="AG53" s="194"/>
      <c r="AH53" s="209"/>
      <c r="AI53" s="194"/>
      <c r="AJ53" s="233">
        <f t="shared" si="5"/>
        <v>490</v>
      </c>
      <c r="AK53" s="170">
        <f t="shared" si="5"/>
        <v>99068.2</v>
      </c>
      <c r="AL53" s="272">
        <f>135+130+130</f>
        <v>395</v>
      </c>
      <c r="AM53" s="212">
        <f>AL53*AR53</f>
        <v>79861.100000000006</v>
      </c>
      <c r="AN53" s="269">
        <v>95</v>
      </c>
      <c r="AO53" s="217">
        <f t="shared" si="2"/>
        <v>19207.099999999991</v>
      </c>
      <c r="AP53" s="232"/>
      <c r="AQ53" s="229"/>
      <c r="AR53" s="212">
        <v>202.18</v>
      </c>
      <c r="AS53" s="212">
        <f t="shared" si="3"/>
        <v>0</v>
      </c>
      <c r="AT53" s="227">
        <v>0</v>
      </c>
      <c r="AU53" s="228">
        <f t="shared" si="4"/>
        <v>0</v>
      </c>
      <c r="AV53" s="97"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5"/>
        <v>195</v>
      </c>
      <c r="AK54" s="170">
        <f t="shared" si="5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v>160</v>
      </c>
      <c r="AU54" s="228">
        <f t="shared" si="4"/>
        <v>32348.800000000003</v>
      </c>
      <c r="AV54" s="97">
        <v>160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5"/>
        <v>170</v>
      </c>
      <c r="AK55" s="170">
        <f t="shared" si="5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97"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5"/>
        <v>320</v>
      </c>
      <c r="AK56" s="170">
        <f t="shared" si="5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97"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5"/>
        <v>15</v>
      </c>
      <c r="AK57" s="170">
        <f t="shared" si="5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97"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5"/>
        <v>170</v>
      </c>
      <c r="AK58" s="170">
        <f t="shared" si="5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97"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5"/>
        <v>665</v>
      </c>
      <c r="AK59" s="170">
        <f t="shared" si="5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97"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5"/>
        <v>335</v>
      </c>
      <c r="AK60" s="170">
        <f t="shared" si="5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97"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5"/>
        <v>155</v>
      </c>
      <c r="AK61" s="170">
        <f t="shared" si="5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97"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5"/>
        <v>340</v>
      </c>
      <c r="AK62" s="170">
        <f t="shared" si="5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97"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5"/>
        <v>245</v>
      </c>
      <c r="AK63" s="170">
        <f t="shared" si="5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97"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5"/>
        <v>555</v>
      </c>
      <c r="AK64" s="170">
        <f t="shared" si="5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97"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5"/>
        <v>45</v>
      </c>
      <c r="AK65" s="170">
        <f t="shared" si="5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97"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5"/>
        <v>55</v>
      </c>
      <c r="AK66" s="170">
        <f t="shared" si="5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97"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5"/>
        <v>210</v>
      </c>
      <c r="AK67" s="170">
        <f t="shared" si="5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97"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5"/>
        <v>105</v>
      </c>
      <c r="AK68" s="170">
        <f t="shared" si="5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97"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5"/>
        <v>30</v>
      </c>
      <c r="AK69" s="170">
        <f t="shared" si="5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97"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5"/>
        <v>125</v>
      </c>
      <c r="AK70" s="170">
        <f t="shared" si="5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2"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5"/>
        <v>80</v>
      </c>
      <c r="AK71" s="170">
        <f t="shared" si="5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2"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5"/>
        <v>10</v>
      </c>
      <c r="AK72" s="170">
        <f t="shared" si="5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2"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5"/>
        <v>10</v>
      </c>
      <c r="AK73" s="170">
        <f t="shared" si="5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97"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5"/>
        <v>5</v>
      </c>
      <c r="AK74" s="170">
        <f t="shared" si="5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97"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5"/>
        <v>8</v>
      </c>
      <c r="AK75" s="170">
        <f t="shared" si="5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97"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5"/>
        <v>34</v>
      </c>
      <c r="AK76" s="170">
        <f t="shared" si="5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97"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5"/>
        <v>270</v>
      </c>
      <c r="AK77" s="170">
        <f t="shared" si="5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97"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5"/>
        <v>40</v>
      </c>
      <c r="AK78" s="170">
        <f t="shared" si="5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97"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5"/>
        <v>56</v>
      </c>
      <c r="AK79" s="170">
        <f t="shared" si="5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v>18</v>
      </c>
      <c r="AU79" s="228">
        <f t="shared" si="4"/>
        <v>5398.2</v>
      </c>
      <c r="AV79" s="97">
        <v>18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5"/>
        <v>510</v>
      </c>
      <c r="AK80" s="170">
        <f t="shared" si="5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v>510</v>
      </c>
      <c r="AU80" s="228">
        <f t="shared" si="4"/>
        <v>152949</v>
      </c>
      <c r="AV80" s="97"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5"/>
        <v>6637</v>
      </c>
      <c r="AK81" s="170">
        <f t="shared" si="5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v>5867</v>
      </c>
      <c r="AU81" s="228">
        <f t="shared" si="4"/>
        <v>90645.15</v>
      </c>
      <c r="AV81" s="233">
        <v>5867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7">J82*K82</f>
        <v>0</v>
      </c>
      <c r="N82" s="243">
        <f t="shared" ref="N82:N84" si="8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5"/>
        <v>144</v>
      </c>
      <c r="AK82" s="170">
        <f t="shared" si="5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9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97"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7"/>
        <v>0</v>
      </c>
      <c r="N83" s="243">
        <f t="shared" si="8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5"/>
        <v>76</v>
      </c>
      <c r="AK83" s="170">
        <f t="shared" si="5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97"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8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5"/>
        <v>4</v>
      </c>
      <c r="AK84" s="170">
        <f t="shared" si="5"/>
        <v>9062.24</v>
      </c>
      <c r="AL84" s="272">
        <v>0</v>
      </c>
      <c r="AM84" s="212">
        <v>0</v>
      </c>
      <c r="AN84" s="269">
        <v>4</v>
      </c>
      <c r="AO84" s="217">
        <f t="shared" ref="AO84:AO90" si="10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97"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1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5"/>
        <v>2</v>
      </c>
      <c r="AK85" s="170">
        <f t="shared" si="5"/>
        <v>4531.12</v>
      </c>
      <c r="AL85" s="272">
        <v>0</v>
      </c>
      <c r="AM85" s="212">
        <v>0</v>
      </c>
      <c r="AN85" s="269">
        <v>2</v>
      </c>
      <c r="AO85" s="217">
        <f t="shared" si="10"/>
        <v>4531.12</v>
      </c>
      <c r="AP85" s="232"/>
      <c r="AQ85" s="229"/>
      <c r="AR85" s="212">
        <v>2265.56</v>
      </c>
      <c r="AS85" s="212">
        <f t="shared" ref="AS85:AS90" si="12">AQ85*AR85</f>
        <v>0</v>
      </c>
      <c r="AT85" s="227">
        <v>2</v>
      </c>
      <c r="AU85" s="228">
        <f t="shared" ref="AU85:AU90" si="13">AT85*AR85</f>
        <v>4531.12</v>
      </c>
      <c r="AV85" s="97"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1"/>
        <v>144</v>
      </c>
      <c r="N86" s="243">
        <f t="shared" ref="N86:N90" si="14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5">AD86+AF86+AH86</f>
        <v>14</v>
      </c>
      <c r="AK86" s="170">
        <f t="shared" si="15"/>
        <v>774.48</v>
      </c>
      <c r="AL86" s="272">
        <v>0</v>
      </c>
      <c r="AM86" s="212">
        <v>0</v>
      </c>
      <c r="AN86" s="269">
        <v>14</v>
      </c>
      <c r="AO86" s="217">
        <f t="shared" si="10"/>
        <v>774.48</v>
      </c>
      <c r="AP86" s="232"/>
      <c r="AQ86" s="229"/>
      <c r="AR86" s="212">
        <v>55.32</v>
      </c>
      <c r="AS86" s="212">
        <f t="shared" si="12"/>
        <v>0</v>
      </c>
      <c r="AT86" s="227">
        <v>14</v>
      </c>
      <c r="AU86" s="228">
        <f t="shared" si="13"/>
        <v>774.48</v>
      </c>
      <c r="AV86" s="97"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1"/>
        <v>0</v>
      </c>
      <c r="N87" s="243">
        <f t="shared" si="14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5"/>
        <v>26</v>
      </c>
      <c r="AK87" s="170">
        <f t="shared" si="15"/>
        <v>1438.32</v>
      </c>
      <c r="AL87" s="272">
        <v>0</v>
      </c>
      <c r="AM87" s="212">
        <v>0</v>
      </c>
      <c r="AN87" s="269">
        <v>26</v>
      </c>
      <c r="AO87" s="217">
        <f t="shared" si="10"/>
        <v>1438.32</v>
      </c>
      <c r="AP87" s="232"/>
      <c r="AQ87" s="229"/>
      <c r="AR87" s="212">
        <v>55.32</v>
      </c>
      <c r="AS87" s="212">
        <f t="shared" si="12"/>
        <v>0</v>
      </c>
      <c r="AT87" s="227">
        <v>26</v>
      </c>
      <c r="AU87" s="228">
        <f t="shared" si="13"/>
        <v>1438.32</v>
      </c>
      <c r="AV87" s="97"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1"/>
        <v>96</v>
      </c>
      <c r="N88" s="243">
        <f t="shared" si="14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5"/>
        <v>6</v>
      </c>
      <c r="AK88" s="170">
        <f t="shared" si="15"/>
        <v>4549.08</v>
      </c>
      <c r="AL88" s="272">
        <v>0</v>
      </c>
      <c r="AM88" s="212">
        <v>0</v>
      </c>
      <c r="AN88" s="269">
        <v>6</v>
      </c>
      <c r="AO88" s="217">
        <f t="shared" si="10"/>
        <v>4549.08</v>
      </c>
      <c r="AP88" s="232"/>
      <c r="AQ88" s="229"/>
      <c r="AR88" s="212">
        <v>758.18</v>
      </c>
      <c r="AS88" s="212">
        <f t="shared" si="12"/>
        <v>0</v>
      </c>
      <c r="AT88" s="227">
        <v>6</v>
      </c>
      <c r="AU88" s="228">
        <f t="shared" si="13"/>
        <v>4549.08</v>
      </c>
      <c r="AV88" s="97"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1"/>
        <v>0</v>
      </c>
      <c r="N89" s="243">
        <f t="shared" si="14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5"/>
        <v>10</v>
      </c>
      <c r="AK89" s="170">
        <f t="shared" si="15"/>
        <v>7581.8</v>
      </c>
      <c r="AL89" s="272">
        <v>0</v>
      </c>
      <c r="AM89" s="212">
        <v>0</v>
      </c>
      <c r="AN89" s="269">
        <v>10</v>
      </c>
      <c r="AO89" s="217">
        <f t="shared" si="10"/>
        <v>7581.8</v>
      </c>
      <c r="AP89" s="232"/>
      <c r="AQ89" s="229"/>
      <c r="AR89" s="212">
        <v>758.18</v>
      </c>
      <c r="AS89" s="212">
        <f t="shared" si="12"/>
        <v>0</v>
      </c>
      <c r="AT89" s="227">
        <v>10</v>
      </c>
      <c r="AU89" s="228">
        <f t="shared" si="13"/>
        <v>7581.7999999999993</v>
      </c>
      <c r="AV89" s="97"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1"/>
        <v>16</v>
      </c>
      <c r="N90" s="243">
        <f t="shared" si="14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5"/>
        <v>2</v>
      </c>
      <c r="AK90" s="170">
        <f t="shared" si="15"/>
        <v>4040.8</v>
      </c>
      <c r="AL90" s="272">
        <v>0</v>
      </c>
      <c r="AM90" s="212">
        <v>0</v>
      </c>
      <c r="AN90" s="269">
        <v>2</v>
      </c>
      <c r="AO90" s="217">
        <f t="shared" si="10"/>
        <v>4040.8</v>
      </c>
      <c r="AP90" s="232"/>
      <c r="AQ90" s="229"/>
      <c r="AR90" s="212">
        <v>2020.4</v>
      </c>
      <c r="AS90" s="212">
        <f t="shared" si="12"/>
        <v>0</v>
      </c>
      <c r="AT90" s="227">
        <v>2</v>
      </c>
      <c r="AU90" s="228">
        <f t="shared" si="13"/>
        <v>4040.8</v>
      </c>
      <c r="AV90" s="97"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6">SUM(P17:P90)</f>
        <v>1903757.27</v>
      </c>
      <c r="Q91" s="248"/>
      <c r="R91" s="249">
        <f t="shared" si="16"/>
        <v>1395649.94</v>
      </c>
      <c r="S91" s="248"/>
      <c r="T91" s="249">
        <f t="shared" si="16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7">SUM(AE17:AE90)</f>
        <v>1524549.46</v>
      </c>
      <c r="AF91" s="210">
        <f t="shared" si="17"/>
        <v>0</v>
      </c>
      <c r="AG91" s="195">
        <f t="shared" si="17"/>
        <v>0</v>
      </c>
      <c r="AH91" s="210">
        <f t="shared" si="17"/>
        <v>0</v>
      </c>
      <c r="AI91" s="195">
        <f t="shared" si="17"/>
        <v>0</v>
      </c>
      <c r="AJ91" s="230">
        <f t="shared" si="17"/>
        <v>13168</v>
      </c>
      <c r="AK91" s="175">
        <f>SUM(AK17:AK90)</f>
        <v>1524549.46</v>
      </c>
      <c r="AL91" s="213">
        <f t="shared" si="17"/>
        <v>2245</v>
      </c>
      <c r="AM91" s="214">
        <f t="shared" si="17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11465</v>
      </c>
      <c r="AU91" s="228">
        <f>SUM(AU17:AU90)</f>
        <v>1357873.58</v>
      </c>
      <c r="AV91" s="236">
        <f>SUM(AV17:AV90)</f>
        <v>11465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372"/>
      <c r="AR99" s="255"/>
      <c r="AS99" s="255"/>
      <c r="AT99" s="372"/>
      <c r="AU99" s="372"/>
      <c r="AV99" s="372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372"/>
      <c r="AR100" s="255"/>
      <c r="AS100" s="255"/>
      <c r="AT100" s="372"/>
      <c r="AU100" s="372"/>
      <c r="AV100" s="372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64" zoomScale="70" zoomScaleSheetLayoutView="70" workbookViewId="0">
      <selection activeCell="AT89" sqref="AT89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378"/>
      <c r="AR1" s="255"/>
      <c r="AS1" s="255"/>
      <c r="AT1" s="378"/>
      <c r="AU1" s="378"/>
      <c r="AV1" s="37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7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37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220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378"/>
      <c r="AR12" s="255"/>
      <c r="AS12" s="255"/>
      <c r="AT12" s="379"/>
      <c r="AU12" s="379"/>
      <c r="AV12" s="37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221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74" t="s">
        <v>77</v>
      </c>
      <c r="N16" s="374" t="s">
        <v>78</v>
      </c>
      <c r="O16" s="374" t="s">
        <v>77</v>
      </c>
      <c r="P16" s="374" t="s">
        <v>78</v>
      </c>
      <c r="Q16" s="374" t="s">
        <v>77</v>
      </c>
      <c r="R16" s="374" t="s">
        <v>78</v>
      </c>
      <c r="S16" s="374" t="s">
        <v>77</v>
      </c>
      <c r="T16" s="37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75" t="s">
        <v>77</v>
      </c>
      <c r="AE16" s="375" t="s">
        <v>78</v>
      </c>
      <c r="AF16" s="205" t="s">
        <v>77</v>
      </c>
      <c r="AG16" s="205" t="s">
        <v>78</v>
      </c>
      <c r="AH16" s="375" t="s">
        <v>77</v>
      </c>
      <c r="AI16" s="375" t="s">
        <v>78</v>
      </c>
      <c r="AJ16" s="97" t="s">
        <v>96</v>
      </c>
      <c r="AK16" s="96" t="s">
        <v>19</v>
      </c>
      <c r="AL16" s="376" t="s">
        <v>96</v>
      </c>
      <c r="AM16" s="376" t="s">
        <v>19</v>
      </c>
      <c r="AN16" s="216" t="s">
        <v>96</v>
      </c>
      <c r="AO16" s="216" t="s">
        <v>19</v>
      </c>
      <c r="AP16" s="207" t="s">
        <v>96</v>
      </c>
      <c r="AQ16" s="376" t="s">
        <v>96</v>
      </c>
      <c r="AR16" s="376" t="s">
        <v>107</v>
      </c>
      <c r="AS16" s="376" t="s">
        <v>19</v>
      </c>
      <c r="AT16" s="377" t="s">
        <v>96</v>
      </c>
      <c r="AU16" s="377" t="s">
        <v>19</v>
      </c>
      <c r="AV16" s="387" t="s">
        <v>223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0</v>
      </c>
      <c r="AO17" s="217">
        <v>129.16</v>
      </c>
      <c r="AP17" s="232"/>
      <c r="AQ17" s="229"/>
      <c r="AR17" s="212">
        <v>32.29</v>
      </c>
      <c r="AS17" s="212">
        <f>AQ17*AR17</f>
        <v>0</v>
      </c>
      <c r="AT17" s="227">
        <v>0</v>
      </c>
      <c r="AU17" s="228">
        <f>AT17*AR17</f>
        <v>0</v>
      </c>
      <c r="AV17" s="279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v>5</v>
      </c>
      <c r="AU22" s="228">
        <f t="shared" si="4"/>
        <v>3934.5</v>
      </c>
      <c r="AV22" s="279">
        <f t="shared" si="5"/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6"/>
        <v>0</v>
      </c>
      <c r="AK24" s="170">
        <f t="shared" si="6"/>
        <v>0</v>
      </c>
      <c r="AL24" s="272">
        <f>60+60+30+30</f>
        <v>180</v>
      </c>
      <c r="AM24" s="212">
        <f>AL24*AR24</f>
        <v>25070.400000000001</v>
      </c>
      <c r="AN24" s="269">
        <v>0</v>
      </c>
      <c r="AO24" s="217">
        <f>AN24*AR24</f>
        <v>0</v>
      </c>
      <c r="AP24" s="232"/>
      <c r="AQ24" s="229"/>
      <c r="AR24" s="212">
        <v>139.28</v>
      </c>
      <c r="AS24" s="212">
        <f t="shared" si="3"/>
        <v>0</v>
      </c>
      <c r="AT24" s="227">
        <v>0</v>
      </c>
      <c r="AU24" s="228">
        <f t="shared" si="4"/>
        <v>0</v>
      </c>
      <c r="AV24" s="279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10</v>
      </c>
      <c r="AU25" s="228">
        <f t="shared" si="4"/>
        <v>1392.8</v>
      </c>
      <c r="AV25" s="279">
        <f t="shared" si="5"/>
        <v>10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6"/>
        <v>0</v>
      </c>
      <c r="AK26" s="170">
        <f t="shared" si="6"/>
        <v>0</v>
      </c>
      <c r="AL26" s="272">
        <f>60+60+30+30</f>
        <v>180</v>
      </c>
      <c r="AM26" s="212">
        <f>AL26*AR26</f>
        <v>94469.400000000009</v>
      </c>
      <c r="AN26" s="269">
        <v>0</v>
      </c>
      <c r="AO26" s="217">
        <f>AN26*AR26</f>
        <v>0</v>
      </c>
      <c r="AP26" s="232"/>
      <c r="AQ26" s="229"/>
      <c r="AR26" s="212">
        <v>524.83000000000004</v>
      </c>
      <c r="AS26" s="212">
        <f t="shared" si="3"/>
        <v>0</v>
      </c>
      <c r="AT26" s="227">
        <v>0</v>
      </c>
      <c r="AU26" s="228">
        <f t="shared" si="4"/>
        <v>0</v>
      </c>
      <c r="AV26" s="279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9</v>
      </c>
      <c r="AU27" s="228">
        <f t="shared" si="4"/>
        <v>4723.47</v>
      </c>
      <c r="AV27" s="279">
        <f t="shared" si="5"/>
        <v>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79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79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79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79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79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v>52</v>
      </c>
      <c r="AU33" s="228">
        <f t="shared" si="4"/>
        <v>15522</v>
      </c>
      <c r="AV33" s="279">
        <f t="shared" si="5"/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79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6"/>
        <v>0</v>
      </c>
      <c r="AK35" s="170">
        <f t="shared" si="6"/>
        <v>0</v>
      </c>
      <c r="AL35" s="272">
        <f>20+60+60</f>
        <v>140</v>
      </c>
      <c r="AM35" s="212">
        <f>5998+17994</f>
        <v>23992</v>
      </c>
      <c r="AN35" s="269">
        <v>22</v>
      </c>
      <c r="AO35" s="217">
        <f t="shared" si="2"/>
        <v>24591.800000000003</v>
      </c>
      <c r="AP35" s="232"/>
      <c r="AQ35" s="229"/>
      <c r="AR35" s="212">
        <v>299.89999999999998</v>
      </c>
      <c r="AS35" s="212">
        <f t="shared" si="3"/>
        <v>0</v>
      </c>
      <c r="AT35" s="227">
        <v>0</v>
      </c>
      <c r="AU35" s="228">
        <f>AT35*AR35</f>
        <v>0</v>
      </c>
      <c r="AV35" s="279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79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79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</f>
        <v>35</v>
      </c>
      <c r="AU41" s="228">
        <f t="shared" si="4"/>
        <v>17130.75</v>
      </c>
      <c r="AV41" s="279">
        <f t="shared" si="5"/>
        <v>35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79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79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79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</f>
        <v>25</v>
      </c>
      <c r="AU45" s="228">
        <f t="shared" si="4"/>
        <v>5054.5</v>
      </c>
      <c r="AV45" s="279">
        <f t="shared" si="5"/>
        <v>25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</f>
        <v>105</v>
      </c>
      <c r="AU46" s="228">
        <f t="shared" si="4"/>
        <v>21228.9</v>
      </c>
      <c r="AV46" s="279">
        <f t="shared" si="5"/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v>80</v>
      </c>
      <c r="AU47" s="228">
        <f t="shared" si="4"/>
        <v>16174.400000000001</v>
      </c>
      <c r="AV47" s="279">
        <f t="shared" si="5"/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v>95</v>
      </c>
      <c r="AU48" s="228">
        <f t="shared" si="4"/>
        <v>19207.100000000002</v>
      </c>
      <c r="AV48" s="279">
        <f t="shared" si="5"/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79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</f>
        <v>160</v>
      </c>
      <c r="AU54" s="228">
        <f t="shared" si="4"/>
        <v>32348.800000000003</v>
      </c>
      <c r="AV54" s="279">
        <f t="shared" si="5"/>
        <v>160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279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279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279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279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279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279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279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279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279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279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279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279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279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279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279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79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79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79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279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279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279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279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279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279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v>18</v>
      </c>
      <c r="AU79" s="228">
        <f t="shared" si="4"/>
        <v>5398.2</v>
      </c>
      <c r="AV79" s="279">
        <f t="shared" si="5"/>
        <v>18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v>510</v>
      </c>
      <c r="AU80" s="228">
        <f t="shared" si="4"/>
        <v>152949</v>
      </c>
      <c r="AV80" s="279">
        <f t="shared" si="5"/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</f>
        <v>5867</v>
      </c>
      <c r="AU81" s="228">
        <f t="shared" si="4"/>
        <v>90645.15</v>
      </c>
      <c r="AV81" s="279">
        <f t="shared" si="5"/>
        <v>5867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279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279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279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279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v>14</v>
      </c>
      <c r="AU86" s="228">
        <f t="shared" si="15"/>
        <v>774.48</v>
      </c>
      <c r="AV86" s="279">
        <f t="shared" si="11"/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279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279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279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279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11465</v>
      </c>
      <c r="AU91" s="228">
        <f>SUM(AU17:AU90)</f>
        <v>1357873.58</v>
      </c>
      <c r="AV91" s="236">
        <f>SUM(AV17:AV90)</f>
        <v>11465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378"/>
      <c r="AR99" s="255"/>
      <c r="AS99" s="255"/>
      <c r="AT99" s="378"/>
      <c r="AU99" s="378"/>
      <c r="AV99" s="378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378"/>
      <c r="AR100" s="255"/>
      <c r="AS100" s="255"/>
      <c r="AT100" s="378"/>
      <c r="AU100" s="378"/>
      <c r="AV100" s="378"/>
    </row>
  </sheetData>
  <mergeCells count="40">
    <mergeCell ref="D11:AV11"/>
    <mergeCell ref="E6:AT6"/>
    <mergeCell ref="D7:AV7"/>
    <mergeCell ref="D8:AV8"/>
    <mergeCell ref="D9:AV9"/>
    <mergeCell ref="D10:AV10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1" zoomScale="70" zoomScaleSheetLayoutView="70" workbookViewId="0">
      <selection activeCell="BA18" sqref="BA18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384"/>
      <c r="AR1" s="255"/>
      <c r="AS1" s="255"/>
      <c r="AT1" s="384"/>
      <c r="AU1" s="384"/>
      <c r="AV1" s="38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8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38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225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384"/>
      <c r="AR12" s="255"/>
      <c r="AS12" s="255"/>
      <c r="AT12" s="385"/>
      <c r="AU12" s="385"/>
      <c r="AV12" s="38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224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83" t="s">
        <v>77</v>
      </c>
      <c r="N16" s="383" t="s">
        <v>78</v>
      </c>
      <c r="O16" s="383" t="s">
        <v>77</v>
      </c>
      <c r="P16" s="383" t="s">
        <v>78</v>
      </c>
      <c r="Q16" s="383" t="s">
        <v>77</v>
      </c>
      <c r="R16" s="383" t="s">
        <v>78</v>
      </c>
      <c r="S16" s="383" t="s">
        <v>77</v>
      </c>
      <c r="T16" s="38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82" t="s">
        <v>77</v>
      </c>
      <c r="AE16" s="382" t="s">
        <v>78</v>
      </c>
      <c r="AF16" s="205" t="s">
        <v>77</v>
      </c>
      <c r="AG16" s="205" t="s">
        <v>78</v>
      </c>
      <c r="AH16" s="382" t="s">
        <v>77</v>
      </c>
      <c r="AI16" s="382" t="s">
        <v>78</v>
      </c>
      <c r="AJ16" s="97" t="s">
        <v>96</v>
      </c>
      <c r="AK16" s="96" t="s">
        <v>19</v>
      </c>
      <c r="AL16" s="380" t="s">
        <v>96</v>
      </c>
      <c r="AM16" s="380" t="s">
        <v>19</v>
      </c>
      <c r="AN16" s="216" t="s">
        <v>96</v>
      </c>
      <c r="AO16" s="216" t="s">
        <v>19</v>
      </c>
      <c r="AP16" s="207" t="s">
        <v>96</v>
      </c>
      <c r="AQ16" s="380" t="s">
        <v>96</v>
      </c>
      <c r="AR16" s="380" t="s">
        <v>107</v>
      </c>
      <c r="AS16" s="380" t="s">
        <v>19</v>
      </c>
      <c r="AT16" s="381" t="s">
        <v>96</v>
      </c>
      <c r="AU16" s="381" t="s">
        <v>19</v>
      </c>
      <c r="AV16" s="387" t="s">
        <v>223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0</v>
      </c>
      <c r="AO17" s="217">
        <v>129.16</v>
      </c>
      <c r="AP17" s="232"/>
      <c r="AQ17" s="229"/>
      <c r="AR17" s="212">
        <v>32.29</v>
      </c>
      <c r="AS17" s="212">
        <f>AQ17*AR17</f>
        <v>0</v>
      </c>
      <c r="AT17" s="227">
        <v>0</v>
      </c>
      <c r="AU17" s="228">
        <f>AT17*AR17</f>
        <v>0</v>
      </c>
      <c r="AV17" s="279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v>5</v>
      </c>
      <c r="AU22" s="228">
        <f t="shared" si="4"/>
        <v>3934.5</v>
      </c>
      <c r="AV22" s="279">
        <f t="shared" si="5"/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6"/>
        <v>0</v>
      </c>
      <c r="AK24" s="170">
        <f t="shared" si="6"/>
        <v>0</v>
      </c>
      <c r="AL24" s="272">
        <f>60+60+30+30</f>
        <v>180</v>
      </c>
      <c r="AM24" s="212">
        <f>AL24*AR24</f>
        <v>25070.400000000001</v>
      </c>
      <c r="AN24" s="269">
        <v>0</v>
      </c>
      <c r="AO24" s="217">
        <f>AN24*AR24</f>
        <v>0</v>
      </c>
      <c r="AP24" s="232"/>
      <c r="AQ24" s="229"/>
      <c r="AR24" s="212">
        <v>139.28</v>
      </c>
      <c r="AS24" s="212">
        <f t="shared" si="3"/>
        <v>0</v>
      </c>
      <c r="AT24" s="227">
        <v>0</v>
      </c>
      <c r="AU24" s="228">
        <f t="shared" si="4"/>
        <v>0</v>
      </c>
      <c r="AV24" s="279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10</v>
      </c>
      <c r="AU25" s="228">
        <f t="shared" si="4"/>
        <v>1392.8</v>
      </c>
      <c r="AV25" s="279">
        <f t="shared" si="5"/>
        <v>10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6"/>
        <v>0</v>
      </c>
      <c r="AK26" s="170">
        <f t="shared" si="6"/>
        <v>0</v>
      </c>
      <c r="AL26" s="272">
        <f>60+60+30+30</f>
        <v>180</v>
      </c>
      <c r="AM26" s="212">
        <f>AL26*AR26</f>
        <v>94469.400000000009</v>
      </c>
      <c r="AN26" s="269">
        <v>0</v>
      </c>
      <c r="AO26" s="217">
        <f>AN26*AR26</f>
        <v>0</v>
      </c>
      <c r="AP26" s="232"/>
      <c r="AQ26" s="229"/>
      <c r="AR26" s="212">
        <v>524.83000000000004</v>
      </c>
      <c r="AS26" s="212">
        <f t="shared" si="3"/>
        <v>0</v>
      </c>
      <c r="AT26" s="227">
        <v>0</v>
      </c>
      <c r="AU26" s="228">
        <f t="shared" si="4"/>
        <v>0</v>
      </c>
      <c r="AV26" s="279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9</v>
      </c>
      <c r="AU27" s="228">
        <f t="shared" si="4"/>
        <v>4723.47</v>
      </c>
      <c r="AV27" s="279">
        <f t="shared" si="5"/>
        <v>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79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79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79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79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79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v>52</v>
      </c>
      <c r="AU33" s="228">
        <f t="shared" si="4"/>
        <v>15522</v>
      </c>
      <c r="AV33" s="279">
        <f t="shared" si="5"/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79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6"/>
        <v>0</v>
      </c>
      <c r="AK35" s="170">
        <f t="shared" si="6"/>
        <v>0</v>
      </c>
      <c r="AL35" s="272">
        <f>20+60+60</f>
        <v>140</v>
      </c>
      <c r="AM35" s="212">
        <f>5998+17994</f>
        <v>23992</v>
      </c>
      <c r="AN35" s="269">
        <v>22</v>
      </c>
      <c r="AO35" s="217">
        <f t="shared" si="2"/>
        <v>24591.800000000003</v>
      </c>
      <c r="AP35" s="232"/>
      <c r="AQ35" s="229"/>
      <c r="AR35" s="212">
        <v>299.89999999999998</v>
      </c>
      <c r="AS35" s="212">
        <f t="shared" si="3"/>
        <v>0</v>
      </c>
      <c r="AT35" s="227">
        <v>0</v>
      </c>
      <c r="AU35" s="228">
        <f>AT35*AR35</f>
        <v>0</v>
      </c>
      <c r="AV35" s="279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79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79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</f>
        <v>35</v>
      </c>
      <c r="AU41" s="228">
        <f t="shared" si="4"/>
        <v>17130.75</v>
      </c>
      <c r="AV41" s="279">
        <f t="shared" si="5"/>
        <v>35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79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79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79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</f>
        <v>25</v>
      </c>
      <c r="AU45" s="228">
        <f t="shared" si="4"/>
        <v>5054.5</v>
      </c>
      <c r="AV45" s="279">
        <f t="shared" si="5"/>
        <v>25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</f>
        <v>105</v>
      </c>
      <c r="AU46" s="228">
        <f t="shared" si="4"/>
        <v>21228.9</v>
      </c>
      <c r="AV46" s="279">
        <f t="shared" si="5"/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v>80</v>
      </c>
      <c r="AU47" s="228">
        <f t="shared" si="4"/>
        <v>16174.400000000001</v>
      </c>
      <c r="AV47" s="279">
        <f t="shared" si="5"/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v>95</v>
      </c>
      <c r="AU48" s="228">
        <f t="shared" si="4"/>
        <v>19207.100000000002</v>
      </c>
      <c r="AV48" s="279">
        <f t="shared" si="5"/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79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</f>
        <v>160</v>
      </c>
      <c r="AU54" s="228">
        <f t="shared" si="4"/>
        <v>32348.800000000003</v>
      </c>
      <c r="AV54" s="279">
        <f t="shared" si="5"/>
        <v>160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279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279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279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279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279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279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279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279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279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279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279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279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279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279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279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79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79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79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279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279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279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279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279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279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v>18</v>
      </c>
      <c r="AU79" s="228">
        <f t="shared" si="4"/>
        <v>5398.2</v>
      </c>
      <c r="AV79" s="279">
        <f t="shared" si="5"/>
        <v>18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v>510</v>
      </c>
      <c r="AU80" s="228">
        <f t="shared" si="4"/>
        <v>152949</v>
      </c>
      <c r="AV80" s="279">
        <f t="shared" si="5"/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</f>
        <v>5867</v>
      </c>
      <c r="AU81" s="228">
        <f t="shared" si="4"/>
        <v>90645.15</v>
      </c>
      <c r="AV81" s="279">
        <f t="shared" si="5"/>
        <v>5867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279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279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279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279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v>14</v>
      </c>
      <c r="AU86" s="228">
        <f t="shared" si="15"/>
        <v>774.48</v>
      </c>
      <c r="AV86" s="279">
        <f t="shared" si="11"/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279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279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279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279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11465</v>
      </c>
      <c r="AU91" s="228">
        <f>SUM(AU17:AU90)</f>
        <v>1357873.58</v>
      </c>
      <c r="AV91" s="236">
        <f>SUM(AV17:AV90)</f>
        <v>11465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384"/>
      <c r="AR99" s="255"/>
      <c r="AS99" s="255"/>
      <c r="AT99" s="384"/>
      <c r="AU99" s="384"/>
      <c r="AV99" s="384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384"/>
      <c r="AR100" s="255"/>
      <c r="AS100" s="255"/>
      <c r="AT100" s="384"/>
      <c r="AU100" s="384"/>
      <c r="AV100" s="384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1" zoomScale="70" zoomScaleSheetLayoutView="70" workbookViewId="0">
      <selection activeCell="AY16" sqref="AY16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392"/>
      <c r="AR1" s="255"/>
      <c r="AS1" s="255"/>
      <c r="AT1" s="392"/>
      <c r="AU1" s="392"/>
      <c r="AV1" s="39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9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39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226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392"/>
      <c r="AR12" s="255"/>
      <c r="AS12" s="255"/>
      <c r="AT12" s="393"/>
      <c r="AU12" s="393"/>
      <c r="AV12" s="39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227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88" t="s">
        <v>77</v>
      </c>
      <c r="N16" s="388" t="s">
        <v>78</v>
      </c>
      <c r="O16" s="388" t="s">
        <v>77</v>
      </c>
      <c r="P16" s="388" t="s">
        <v>78</v>
      </c>
      <c r="Q16" s="388" t="s">
        <v>77</v>
      </c>
      <c r="R16" s="388" t="s">
        <v>78</v>
      </c>
      <c r="S16" s="388" t="s">
        <v>77</v>
      </c>
      <c r="T16" s="388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89" t="s">
        <v>77</v>
      </c>
      <c r="AE16" s="389" t="s">
        <v>78</v>
      </c>
      <c r="AF16" s="205" t="s">
        <v>77</v>
      </c>
      <c r="AG16" s="205" t="s">
        <v>78</v>
      </c>
      <c r="AH16" s="389" t="s">
        <v>77</v>
      </c>
      <c r="AI16" s="389" t="s">
        <v>78</v>
      </c>
      <c r="AJ16" s="97" t="s">
        <v>96</v>
      </c>
      <c r="AK16" s="96" t="s">
        <v>19</v>
      </c>
      <c r="AL16" s="390" t="s">
        <v>96</v>
      </c>
      <c r="AM16" s="390" t="s">
        <v>19</v>
      </c>
      <c r="AN16" s="216" t="s">
        <v>96</v>
      </c>
      <c r="AO16" s="216" t="s">
        <v>19</v>
      </c>
      <c r="AP16" s="207" t="s">
        <v>96</v>
      </c>
      <c r="AQ16" s="390" t="s">
        <v>96</v>
      </c>
      <c r="AR16" s="390" t="s">
        <v>107</v>
      </c>
      <c r="AS16" s="390" t="s">
        <v>19</v>
      </c>
      <c r="AT16" s="391" t="s">
        <v>96</v>
      </c>
      <c r="AU16" s="391" t="s">
        <v>19</v>
      </c>
      <c r="AV16" s="387" t="s">
        <v>223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0</v>
      </c>
      <c r="AO17" s="217">
        <v>129.16</v>
      </c>
      <c r="AP17" s="232"/>
      <c r="AQ17" s="229"/>
      <c r="AR17" s="212">
        <v>32.29</v>
      </c>
      <c r="AS17" s="212">
        <f>AQ17*AR17</f>
        <v>0</v>
      </c>
      <c r="AT17" s="227">
        <v>0</v>
      </c>
      <c r="AU17" s="228">
        <f>AT17*AR17</f>
        <v>0</v>
      </c>
      <c r="AV17" s="279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v>5</v>
      </c>
      <c r="AU22" s="228">
        <f t="shared" si="4"/>
        <v>3934.5</v>
      </c>
      <c r="AV22" s="279">
        <f t="shared" si="5"/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6"/>
        <v>0</v>
      </c>
      <c r="AK24" s="170">
        <f t="shared" si="6"/>
        <v>0</v>
      </c>
      <c r="AL24" s="272">
        <f>60+60+30+30</f>
        <v>180</v>
      </c>
      <c r="AM24" s="212">
        <f>AL24*AR24</f>
        <v>25070.400000000001</v>
      </c>
      <c r="AN24" s="269">
        <v>0</v>
      </c>
      <c r="AO24" s="217">
        <f>AN24*AR24</f>
        <v>0</v>
      </c>
      <c r="AP24" s="232"/>
      <c r="AQ24" s="229"/>
      <c r="AR24" s="212">
        <v>139.28</v>
      </c>
      <c r="AS24" s="212">
        <f t="shared" si="3"/>
        <v>0</v>
      </c>
      <c r="AT24" s="227">
        <v>0</v>
      </c>
      <c r="AU24" s="228">
        <f t="shared" si="4"/>
        <v>0</v>
      </c>
      <c r="AV24" s="279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10</v>
      </c>
      <c r="AU25" s="228">
        <f t="shared" si="4"/>
        <v>1392.8</v>
      </c>
      <c r="AV25" s="279">
        <f t="shared" si="5"/>
        <v>10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6"/>
        <v>0</v>
      </c>
      <c r="AK26" s="170">
        <f t="shared" si="6"/>
        <v>0</v>
      </c>
      <c r="AL26" s="272">
        <f>60+60+30+30</f>
        <v>180</v>
      </c>
      <c r="AM26" s="212">
        <f>AL26*AR26</f>
        <v>94469.400000000009</v>
      </c>
      <c r="AN26" s="269">
        <v>0</v>
      </c>
      <c r="AO26" s="217">
        <f>AN26*AR26</f>
        <v>0</v>
      </c>
      <c r="AP26" s="232"/>
      <c r="AQ26" s="229"/>
      <c r="AR26" s="212">
        <v>524.83000000000004</v>
      </c>
      <c r="AS26" s="212">
        <f t="shared" si="3"/>
        <v>0</v>
      </c>
      <c r="AT26" s="227">
        <v>0</v>
      </c>
      <c r="AU26" s="228">
        <f t="shared" si="4"/>
        <v>0</v>
      </c>
      <c r="AV26" s="279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9</v>
      </c>
      <c r="AU27" s="228">
        <f t="shared" si="4"/>
        <v>4723.47</v>
      </c>
      <c r="AV27" s="279">
        <f t="shared" si="5"/>
        <v>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79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79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79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79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79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v>52</v>
      </c>
      <c r="AU33" s="228">
        <f t="shared" si="4"/>
        <v>15522</v>
      </c>
      <c r="AV33" s="279">
        <f t="shared" si="5"/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79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6"/>
        <v>0</v>
      </c>
      <c r="AK35" s="170">
        <f t="shared" si="6"/>
        <v>0</v>
      </c>
      <c r="AL35" s="272">
        <f>20+60+60</f>
        <v>140</v>
      </c>
      <c r="AM35" s="212">
        <f>5998+17994</f>
        <v>23992</v>
      </c>
      <c r="AN35" s="269">
        <v>22</v>
      </c>
      <c r="AO35" s="217">
        <f t="shared" si="2"/>
        <v>24591.800000000003</v>
      </c>
      <c r="AP35" s="232"/>
      <c r="AQ35" s="229"/>
      <c r="AR35" s="212">
        <v>299.89999999999998</v>
      </c>
      <c r="AS35" s="212">
        <f t="shared" si="3"/>
        <v>0</v>
      </c>
      <c r="AT35" s="227">
        <v>0</v>
      </c>
      <c r="AU35" s="228">
        <f>AT35*AR35</f>
        <v>0</v>
      </c>
      <c r="AV35" s="279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79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79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</f>
        <v>35</v>
      </c>
      <c r="AU41" s="228">
        <f t="shared" si="4"/>
        <v>17130.75</v>
      </c>
      <c r="AV41" s="279">
        <f t="shared" si="5"/>
        <v>35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79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79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79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</f>
        <v>25</v>
      </c>
      <c r="AU45" s="228">
        <f t="shared" si="4"/>
        <v>5054.5</v>
      </c>
      <c r="AV45" s="279">
        <f t="shared" si="5"/>
        <v>25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</f>
        <v>105</v>
      </c>
      <c r="AU46" s="228">
        <f t="shared" si="4"/>
        <v>21228.9</v>
      </c>
      <c r="AV46" s="279">
        <f t="shared" si="5"/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v>80</v>
      </c>
      <c r="AU47" s="228">
        <f t="shared" si="4"/>
        <v>16174.400000000001</v>
      </c>
      <c r="AV47" s="279">
        <f t="shared" si="5"/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v>95</v>
      </c>
      <c r="AU48" s="228">
        <f t="shared" si="4"/>
        <v>19207.100000000002</v>
      </c>
      <c r="AV48" s="279">
        <f t="shared" si="5"/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79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</f>
        <v>160</v>
      </c>
      <c r="AU54" s="228">
        <f t="shared" si="4"/>
        <v>32348.800000000003</v>
      </c>
      <c r="AV54" s="279">
        <f t="shared" si="5"/>
        <v>160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279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279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279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279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279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279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279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279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279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279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279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279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279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279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279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79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79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79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279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279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279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279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279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279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v>18</v>
      </c>
      <c r="AU79" s="228">
        <f t="shared" si="4"/>
        <v>5398.2</v>
      </c>
      <c r="AV79" s="279">
        <f t="shared" si="5"/>
        <v>18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v>510</v>
      </c>
      <c r="AU80" s="228">
        <f t="shared" si="4"/>
        <v>152949</v>
      </c>
      <c r="AV80" s="279">
        <f t="shared" si="5"/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</f>
        <v>5867</v>
      </c>
      <c r="AU81" s="228">
        <f t="shared" si="4"/>
        <v>90645.15</v>
      </c>
      <c r="AV81" s="279">
        <f t="shared" si="5"/>
        <v>5867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279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279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279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279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v>14</v>
      </c>
      <c r="AU86" s="228">
        <f t="shared" si="15"/>
        <v>774.48</v>
      </c>
      <c r="AV86" s="279">
        <f t="shared" si="11"/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279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279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279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279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11465</v>
      </c>
      <c r="AU91" s="228">
        <f>SUM(AU17:AU90)</f>
        <v>1357873.58</v>
      </c>
      <c r="AV91" s="236">
        <f>SUM(AV17:AV90)</f>
        <v>11465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392"/>
      <c r="AR99" s="255"/>
      <c r="AS99" s="255"/>
      <c r="AT99" s="392"/>
      <c r="AU99" s="392"/>
      <c r="AV99" s="392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392"/>
      <c r="AR100" s="255"/>
      <c r="AS100" s="255"/>
      <c r="AT100" s="392"/>
      <c r="AU100" s="392"/>
      <c r="AV100" s="392"/>
    </row>
  </sheetData>
  <mergeCells count="40">
    <mergeCell ref="D11:AV11"/>
    <mergeCell ref="E6:AT6"/>
    <mergeCell ref="D7:AV7"/>
    <mergeCell ref="D8:AV8"/>
    <mergeCell ref="D9:AV9"/>
    <mergeCell ref="D10:AV10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1" zoomScale="70" zoomScaleSheetLayoutView="70" workbookViewId="0">
      <selection activeCell="AZ88" sqref="AZ88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398"/>
      <c r="AR1" s="255"/>
      <c r="AS1" s="255"/>
      <c r="AT1" s="398"/>
      <c r="AU1" s="398"/>
      <c r="AV1" s="39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9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39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229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398"/>
      <c r="AR12" s="255"/>
      <c r="AS12" s="255"/>
      <c r="AT12" s="399"/>
      <c r="AU12" s="399"/>
      <c r="AV12" s="39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228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397" t="s">
        <v>77</v>
      </c>
      <c r="N16" s="397" t="s">
        <v>78</v>
      </c>
      <c r="O16" s="397" t="s">
        <v>77</v>
      </c>
      <c r="P16" s="397" t="s">
        <v>78</v>
      </c>
      <c r="Q16" s="397" t="s">
        <v>77</v>
      </c>
      <c r="R16" s="397" t="s">
        <v>78</v>
      </c>
      <c r="S16" s="397" t="s">
        <v>77</v>
      </c>
      <c r="T16" s="397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396" t="s">
        <v>77</v>
      </c>
      <c r="AE16" s="396" t="s">
        <v>78</v>
      </c>
      <c r="AF16" s="205" t="s">
        <v>77</v>
      </c>
      <c r="AG16" s="205" t="s">
        <v>78</v>
      </c>
      <c r="AH16" s="396" t="s">
        <v>77</v>
      </c>
      <c r="AI16" s="396" t="s">
        <v>78</v>
      </c>
      <c r="AJ16" s="97" t="s">
        <v>96</v>
      </c>
      <c r="AK16" s="96" t="s">
        <v>19</v>
      </c>
      <c r="AL16" s="394" t="s">
        <v>96</v>
      </c>
      <c r="AM16" s="394" t="s">
        <v>19</v>
      </c>
      <c r="AN16" s="216" t="s">
        <v>96</v>
      </c>
      <c r="AO16" s="216" t="s">
        <v>19</v>
      </c>
      <c r="AP16" s="207" t="s">
        <v>96</v>
      </c>
      <c r="AQ16" s="394" t="s">
        <v>96</v>
      </c>
      <c r="AR16" s="394" t="s">
        <v>107</v>
      </c>
      <c r="AS16" s="394" t="s">
        <v>19</v>
      </c>
      <c r="AT16" s="395" t="s">
        <v>96</v>
      </c>
      <c r="AU16" s="395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>
        <v>1</v>
      </c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61">
        <v>1</v>
      </c>
      <c r="AU18" s="262">
        <f t="shared" ref="AU18:AU84" si="4">AT18*AR18</f>
        <v>1026.1600000000001</v>
      </c>
      <c r="AV18" s="406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61">
        <v>1</v>
      </c>
      <c r="AU19" s="262">
        <f t="shared" si="4"/>
        <v>1026.1600000000001</v>
      </c>
      <c r="AV19" s="406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406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406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61">
        <f>5-1</f>
        <v>4</v>
      </c>
      <c r="AU22" s="262">
        <f t="shared" si="4"/>
        <v>3147.6</v>
      </c>
      <c r="AV22" s="406">
        <f t="shared" si="5"/>
        <v>4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406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61">
        <f>10-10</f>
        <v>0</v>
      </c>
      <c r="AU25" s="262">
        <f t="shared" si="4"/>
        <v>0</v>
      </c>
      <c r="AV25" s="406">
        <f t="shared" si="5"/>
        <v>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61">
        <f>9-9</f>
        <v>0</v>
      </c>
      <c r="AU27" s="262">
        <f t="shared" si="4"/>
        <v>0</v>
      </c>
      <c r="AV27" s="406">
        <f t="shared" si="5"/>
        <v>0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61">
        <f>52-50</f>
        <v>2</v>
      </c>
      <c r="AU33" s="262">
        <f t="shared" si="4"/>
        <v>597</v>
      </c>
      <c r="AV33" s="406">
        <f t="shared" si="5"/>
        <v>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406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406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61">
        <f>35-35</f>
        <v>0</v>
      </c>
      <c r="AU41" s="262">
        <f t="shared" si="4"/>
        <v>0</v>
      </c>
      <c r="AV41" s="406">
        <f t="shared" si="5"/>
        <v>0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61">
        <f>25-25</f>
        <v>0</v>
      </c>
      <c r="AU45" s="262">
        <f t="shared" si="4"/>
        <v>0</v>
      </c>
      <c r="AV45" s="406">
        <f t="shared" si="5"/>
        <v>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61">
        <f>105-105</f>
        <v>0</v>
      </c>
      <c r="AU46" s="262">
        <f t="shared" si="4"/>
        <v>0</v>
      </c>
      <c r="AV46" s="406">
        <f t="shared" si="5"/>
        <v>0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61">
        <f>80-80</f>
        <v>0</v>
      </c>
      <c r="AU47" s="262">
        <f t="shared" si="4"/>
        <v>0</v>
      </c>
      <c r="AV47" s="406">
        <f t="shared" si="5"/>
        <v>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61">
        <f>95-45</f>
        <v>50</v>
      </c>
      <c r="AU48" s="262">
        <f t="shared" si="4"/>
        <v>10109</v>
      </c>
      <c r="AV48" s="406">
        <f t="shared" si="5"/>
        <v>50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406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406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406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160-140</f>
        <v>20</v>
      </c>
      <c r="AU54" s="228">
        <f t="shared" si="4"/>
        <v>4043.6000000000004</v>
      </c>
      <c r="AV54" s="406">
        <f t="shared" si="5"/>
        <v>20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406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406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406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406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406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406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406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406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406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406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406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406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406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406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406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406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406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406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406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406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406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61">
        <f>18-18</f>
        <v>0</v>
      </c>
      <c r="AU79" s="262">
        <f t="shared" si="4"/>
        <v>0</v>
      </c>
      <c r="AV79" s="406">
        <f t="shared" si="5"/>
        <v>0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61">
        <f>510-42</f>
        <v>468</v>
      </c>
      <c r="AU80" s="262">
        <f t="shared" si="4"/>
        <v>140353.19999999998</v>
      </c>
      <c r="AV80" s="406">
        <f t="shared" si="5"/>
        <v>468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5867-550</f>
        <v>5317</v>
      </c>
      <c r="AU81" s="228">
        <f t="shared" si="4"/>
        <v>82147.649999999994</v>
      </c>
      <c r="AV81" s="406">
        <f t="shared" si="5"/>
        <v>5317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406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406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406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406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f>14-2</f>
        <v>12</v>
      </c>
      <c r="AU86" s="228">
        <f t="shared" si="15"/>
        <v>663.84</v>
      </c>
      <c r="AV86" s="406">
        <f t="shared" si="11"/>
        <v>12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406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406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406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406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10353</v>
      </c>
      <c r="AU91" s="228">
        <f>SUM(AU17:AU90)</f>
        <v>1212451.4200000004</v>
      </c>
      <c r="AV91" s="236">
        <f>SUM(AV17:AV90)</f>
        <v>10353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398"/>
      <c r="AR99" s="255"/>
      <c r="AS99" s="255"/>
      <c r="AT99" s="398"/>
      <c r="AU99" s="398"/>
      <c r="AV99" s="398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398"/>
      <c r="AR100" s="255"/>
      <c r="AS100" s="255"/>
      <c r="AT100" s="398"/>
      <c r="AU100" s="398"/>
      <c r="AV100" s="398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1" zoomScale="70" zoomScaleSheetLayoutView="70" workbookViewId="0">
      <selection activeCell="AZ22" sqref="AZ22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04"/>
      <c r="AR1" s="255"/>
      <c r="AS1" s="255"/>
      <c r="AT1" s="404"/>
      <c r="AU1" s="404"/>
      <c r="AV1" s="40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0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0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231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04"/>
      <c r="AR12" s="255"/>
      <c r="AS12" s="255"/>
      <c r="AT12" s="405"/>
      <c r="AU12" s="405"/>
      <c r="AV12" s="40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230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00" t="s">
        <v>77</v>
      </c>
      <c r="N16" s="400" t="s">
        <v>78</v>
      </c>
      <c r="O16" s="400" t="s">
        <v>77</v>
      </c>
      <c r="P16" s="400" t="s">
        <v>78</v>
      </c>
      <c r="Q16" s="400" t="s">
        <v>77</v>
      </c>
      <c r="R16" s="400" t="s">
        <v>78</v>
      </c>
      <c r="S16" s="400" t="s">
        <v>77</v>
      </c>
      <c r="T16" s="400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01" t="s">
        <v>77</v>
      </c>
      <c r="AE16" s="401" t="s">
        <v>78</v>
      </c>
      <c r="AF16" s="205" t="s">
        <v>77</v>
      </c>
      <c r="AG16" s="205" t="s">
        <v>78</v>
      </c>
      <c r="AH16" s="401" t="s">
        <v>77</v>
      </c>
      <c r="AI16" s="401" t="s">
        <v>78</v>
      </c>
      <c r="AJ16" s="97" t="s">
        <v>96</v>
      </c>
      <c r="AK16" s="96" t="s">
        <v>19</v>
      </c>
      <c r="AL16" s="402" t="s">
        <v>96</v>
      </c>
      <c r="AM16" s="402" t="s">
        <v>19</v>
      </c>
      <c r="AN16" s="216" t="s">
        <v>96</v>
      </c>
      <c r="AO16" s="216" t="s">
        <v>19</v>
      </c>
      <c r="AP16" s="207" t="s">
        <v>96</v>
      </c>
      <c r="AQ16" s="402" t="s">
        <v>96</v>
      </c>
      <c r="AR16" s="402" t="s">
        <v>107</v>
      </c>
      <c r="AS16" s="402" t="s">
        <v>19</v>
      </c>
      <c r="AT16" s="403" t="s">
        <v>96</v>
      </c>
      <c r="AU16" s="403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>
        <v>1</v>
      </c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f>52-50</f>
        <v>2</v>
      </c>
      <c r="AU33" s="228">
        <f t="shared" si="4"/>
        <v>597</v>
      </c>
      <c r="AV33" s="279">
        <f t="shared" si="5"/>
        <v>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35-35</f>
        <v>0</v>
      </c>
      <c r="AU41" s="228">
        <f t="shared" si="4"/>
        <v>0</v>
      </c>
      <c r="AV41" s="279">
        <f t="shared" si="5"/>
        <v>0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25-25</f>
        <v>0</v>
      </c>
      <c r="AU45" s="228">
        <f t="shared" si="4"/>
        <v>0</v>
      </c>
      <c r="AV45" s="279">
        <f t="shared" si="5"/>
        <v>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105-105</f>
        <v>0</v>
      </c>
      <c r="AU46" s="228">
        <f t="shared" si="4"/>
        <v>0</v>
      </c>
      <c r="AV46" s="279">
        <f t="shared" si="5"/>
        <v>0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f>80-80</f>
        <v>0</v>
      </c>
      <c r="AU47" s="228">
        <f t="shared" si="4"/>
        <v>0</v>
      </c>
      <c r="AV47" s="279">
        <f t="shared" si="5"/>
        <v>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f>95-45</f>
        <v>50</v>
      </c>
      <c r="AU48" s="228">
        <f t="shared" si="4"/>
        <v>10109</v>
      </c>
      <c r="AV48" s="279">
        <f t="shared" si="5"/>
        <v>50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160-140</f>
        <v>20</v>
      </c>
      <c r="AU54" s="228">
        <f t="shared" si="4"/>
        <v>4043.6000000000004</v>
      </c>
      <c r="AV54" s="279">
        <f t="shared" si="5"/>
        <v>20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279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279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279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279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279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279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279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279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279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279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279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279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279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279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279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279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279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279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279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279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279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f>18-18</f>
        <v>0</v>
      </c>
      <c r="AU79" s="228">
        <f t="shared" si="4"/>
        <v>0</v>
      </c>
      <c r="AV79" s="279">
        <f t="shared" si="5"/>
        <v>0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f>510-42</f>
        <v>468</v>
      </c>
      <c r="AU80" s="228">
        <f t="shared" si="4"/>
        <v>140353.19999999998</v>
      </c>
      <c r="AV80" s="279">
        <f t="shared" si="5"/>
        <v>468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5867-550</f>
        <v>5317</v>
      </c>
      <c r="AU81" s="228">
        <f t="shared" si="4"/>
        <v>82147.649999999994</v>
      </c>
      <c r="AV81" s="279">
        <f t="shared" si="5"/>
        <v>5317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279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279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279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279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f>14-2</f>
        <v>12</v>
      </c>
      <c r="AU86" s="228">
        <f t="shared" si="15"/>
        <v>663.84</v>
      </c>
      <c r="AV86" s="279">
        <f t="shared" si="11"/>
        <v>12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279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279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279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279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10353</v>
      </c>
      <c r="AU91" s="228">
        <f>SUM(AU17:AU90)</f>
        <v>1212451.4200000004</v>
      </c>
      <c r="AV91" s="236">
        <f>SUM(AV17:AV90)</f>
        <v>10353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404"/>
      <c r="AR99" s="255"/>
      <c r="AS99" s="255"/>
      <c r="AT99" s="404"/>
      <c r="AU99" s="404"/>
      <c r="AV99" s="404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404"/>
      <c r="AR100" s="255"/>
      <c r="AS100" s="255"/>
      <c r="AT100" s="404"/>
      <c r="AU100" s="404"/>
      <c r="AV100" s="404"/>
    </row>
  </sheetData>
  <mergeCells count="40">
    <mergeCell ref="D11:AV11"/>
    <mergeCell ref="E6:AT6"/>
    <mergeCell ref="D7:AV7"/>
    <mergeCell ref="D8:AV8"/>
    <mergeCell ref="D9:AV9"/>
    <mergeCell ref="D10:AV10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C85" zoomScale="70" zoomScaleSheetLayoutView="70" workbookViewId="0">
      <selection activeCell="AV19" sqref="AV19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13"/>
      <c r="AR1" s="255"/>
      <c r="AS1" s="255"/>
      <c r="AT1" s="413"/>
      <c r="AU1" s="413"/>
      <c r="AV1" s="413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13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13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232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13"/>
      <c r="AR12" s="255"/>
      <c r="AS12" s="255"/>
      <c r="AT12" s="414"/>
      <c r="AU12" s="414"/>
      <c r="AV12" s="414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233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12" t="s">
        <v>77</v>
      </c>
      <c r="N16" s="412" t="s">
        <v>78</v>
      </c>
      <c r="O16" s="412" t="s">
        <v>77</v>
      </c>
      <c r="P16" s="412" t="s">
        <v>78</v>
      </c>
      <c r="Q16" s="412" t="s">
        <v>77</v>
      </c>
      <c r="R16" s="412" t="s">
        <v>78</v>
      </c>
      <c r="S16" s="412" t="s">
        <v>77</v>
      </c>
      <c r="T16" s="412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11" t="s">
        <v>77</v>
      </c>
      <c r="AE16" s="411" t="s">
        <v>78</v>
      </c>
      <c r="AF16" s="205" t="s">
        <v>77</v>
      </c>
      <c r="AG16" s="205" t="s">
        <v>78</v>
      </c>
      <c r="AH16" s="411" t="s">
        <v>77</v>
      </c>
      <c r="AI16" s="411" t="s">
        <v>78</v>
      </c>
      <c r="AJ16" s="97" t="s">
        <v>96</v>
      </c>
      <c r="AK16" s="96" t="s">
        <v>19</v>
      </c>
      <c r="AL16" s="409" t="s">
        <v>96</v>
      </c>
      <c r="AM16" s="409" t="s">
        <v>19</v>
      </c>
      <c r="AN16" s="216" t="s">
        <v>96</v>
      </c>
      <c r="AO16" s="216" t="s">
        <v>19</v>
      </c>
      <c r="AP16" s="207" t="s">
        <v>96</v>
      </c>
      <c r="AQ16" s="409" t="s">
        <v>96</v>
      </c>
      <c r="AR16" s="409" t="s">
        <v>107</v>
      </c>
      <c r="AS16" s="409" t="s">
        <v>19</v>
      </c>
      <c r="AT16" s="410" t="s">
        <v>96</v>
      </c>
      <c r="AU16" s="410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>
        <v>1</v>
      </c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1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27">
        <v>1</v>
      </c>
      <c r="AU18" s="228">
        <f t="shared" ref="AU18:AU84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5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27">
        <f>52-50</f>
        <v>2</v>
      </c>
      <c r="AU33" s="228">
        <f t="shared" si="4"/>
        <v>597</v>
      </c>
      <c r="AV33" s="279">
        <f t="shared" si="5"/>
        <v>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35-35</f>
        <v>0</v>
      </c>
      <c r="AU41" s="228">
        <f t="shared" si="4"/>
        <v>0</v>
      </c>
      <c r="AV41" s="279">
        <f t="shared" si="5"/>
        <v>0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25-25</f>
        <v>0</v>
      </c>
      <c r="AU45" s="228">
        <f t="shared" si="4"/>
        <v>0</v>
      </c>
      <c r="AV45" s="279">
        <f t="shared" si="5"/>
        <v>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105-105</f>
        <v>0</v>
      </c>
      <c r="AU46" s="228">
        <f t="shared" si="4"/>
        <v>0</v>
      </c>
      <c r="AV46" s="279">
        <f t="shared" si="5"/>
        <v>0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f>80-80</f>
        <v>0</v>
      </c>
      <c r="AU47" s="228">
        <f t="shared" si="4"/>
        <v>0</v>
      </c>
      <c r="AV47" s="279">
        <f t="shared" si="5"/>
        <v>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f>95-45</f>
        <v>50</v>
      </c>
      <c r="AU48" s="228">
        <f t="shared" si="4"/>
        <v>10109</v>
      </c>
      <c r="AV48" s="279">
        <f t="shared" si="5"/>
        <v>50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8" s="62" customFormat="1" ht="27" customHeight="1">
      <c r="A53" s="59"/>
      <c r="B53" s="60"/>
      <c r="C53" s="60"/>
      <c r="D53" s="22">
        <v>37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3">
        <f t="shared" si="6"/>
        <v>490</v>
      </c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6"/>
        <v>39425.1</v>
      </c>
      <c r="AL54" s="272">
        <v>0</v>
      </c>
      <c r="AM54" s="212">
        <v>0</v>
      </c>
      <c r="AN54" s="269">
        <v>195</v>
      </c>
      <c r="AO54" s="217">
        <f t="shared" si="2"/>
        <v>39425.1</v>
      </c>
      <c r="AP54" s="232"/>
      <c r="AQ54" s="229"/>
      <c r="AR54" s="212">
        <v>202.18</v>
      </c>
      <c r="AS54" s="212">
        <f t="shared" si="3"/>
        <v>0</v>
      </c>
      <c r="AT54" s="227">
        <f>160-140</f>
        <v>20</v>
      </c>
      <c r="AU54" s="228">
        <f t="shared" si="4"/>
        <v>4043.6000000000004</v>
      </c>
      <c r="AV54" s="279">
        <f t="shared" si="5"/>
        <v>20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6"/>
        <v>34370.6</v>
      </c>
      <c r="AL55" s="272">
        <v>0</v>
      </c>
      <c r="AM55" s="212">
        <v>0</v>
      </c>
      <c r="AN55" s="269">
        <v>170</v>
      </c>
      <c r="AO55" s="217">
        <f t="shared" si="2"/>
        <v>34370.6</v>
      </c>
      <c r="AP55" s="232"/>
      <c r="AQ55" s="229"/>
      <c r="AR55" s="212">
        <v>202.18</v>
      </c>
      <c r="AS55" s="212">
        <f t="shared" si="3"/>
        <v>0</v>
      </c>
      <c r="AT55" s="227">
        <v>170</v>
      </c>
      <c r="AU55" s="228">
        <f t="shared" si="4"/>
        <v>34370.6</v>
      </c>
      <c r="AV55" s="279">
        <f t="shared" si="5"/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6"/>
        <v>64697.599999999999</v>
      </c>
      <c r="AL56" s="272">
        <v>0</v>
      </c>
      <c r="AM56" s="212">
        <v>0</v>
      </c>
      <c r="AN56" s="269">
        <v>320</v>
      </c>
      <c r="AO56" s="217">
        <f t="shared" si="2"/>
        <v>64697.599999999999</v>
      </c>
      <c r="AP56" s="232"/>
      <c r="AQ56" s="229"/>
      <c r="AR56" s="212">
        <v>202.18</v>
      </c>
      <c r="AS56" s="212">
        <f t="shared" si="3"/>
        <v>0</v>
      </c>
      <c r="AT56" s="227">
        <v>320</v>
      </c>
      <c r="AU56" s="228">
        <f t="shared" si="4"/>
        <v>64697.600000000006</v>
      </c>
      <c r="AV56" s="279">
        <f t="shared" si="5"/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6"/>
        <v>3032.7</v>
      </c>
      <c r="AL57" s="272">
        <v>0</v>
      </c>
      <c r="AM57" s="212">
        <v>0</v>
      </c>
      <c r="AN57" s="269">
        <v>15</v>
      </c>
      <c r="AO57" s="217">
        <f t="shared" si="2"/>
        <v>3032.7</v>
      </c>
      <c r="AP57" s="232"/>
      <c r="AQ57" s="229"/>
      <c r="AR57" s="212">
        <v>202.18</v>
      </c>
      <c r="AS57" s="212">
        <f t="shared" si="3"/>
        <v>0</v>
      </c>
      <c r="AT57" s="227">
        <v>15</v>
      </c>
      <c r="AU57" s="228">
        <f t="shared" si="4"/>
        <v>3032.7000000000003</v>
      </c>
      <c r="AV57" s="279">
        <f t="shared" si="5"/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170</v>
      </c>
      <c r="AU58" s="228">
        <f t="shared" si="4"/>
        <v>34370.6</v>
      </c>
      <c r="AV58" s="279">
        <f t="shared" si="5"/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6"/>
        <v>134449.70000000001</v>
      </c>
      <c r="AL59" s="272">
        <v>0</v>
      </c>
      <c r="AM59" s="212">
        <v>0</v>
      </c>
      <c r="AN59" s="269">
        <v>665</v>
      </c>
      <c r="AO59" s="217">
        <f t="shared" si="2"/>
        <v>134449.70000000001</v>
      </c>
      <c r="AP59" s="232"/>
      <c r="AQ59" s="229"/>
      <c r="AR59" s="212">
        <v>202.18</v>
      </c>
      <c r="AS59" s="212">
        <f t="shared" si="3"/>
        <v>0</v>
      </c>
      <c r="AT59" s="227">
        <v>665</v>
      </c>
      <c r="AU59" s="228">
        <f t="shared" si="4"/>
        <v>134449.70000000001</v>
      </c>
      <c r="AV59" s="279">
        <f t="shared" si="5"/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6"/>
        <v>67730.3</v>
      </c>
      <c r="AL60" s="272">
        <v>0</v>
      </c>
      <c r="AM60" s="212">
        <v>0</v>
      </c>
      <c r="AN60" s="269">
        <v>335</v>
      </c>
      <c r="AO60" s="217">
        <f t="shared" si="2"/>
        <v>67730.3</v>
      </c>
      <c r="AP60" s="232"/>
      <c r="AQ60" s="229"/>
      <c r="AR60" s="212">
        <v>202.18</v>
      </c>
      <c r="AS60" s="212">
        <f t="shared" si="3"/>
        <v>0</v>
      </c>
      <c r="AT60" s="227">
        <v>335</v>
      </c>
      <c r="AU60" s="228">
        <f t="shared" si="4"/>
        <v>67730.3</v>
      </c>
      <c r="AV60" s="279">
        <f t="shared" si="5"/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6"/>
        <v>31337.9</v>
      </c>
      <c r="AL61" s="272">
        <v>0</v>
      </c>
      <c r="AM61" s="212">
        <v>0</v>
      </c>
      <c r="AN61" s="269">
        <v>155</v>
      </c>
      <c r="AO61" s="217">
        <f t="shared" si="2"/>
        <v>31337.9</v>
      </c>
      <c r="AP61" s="232"/>
      <c r="AQ61" s="229"/>
      <c r="AR61" s="212">
        <v>202.18</v>
      </c>
      <c r="AS61" s="212">
        <f t="shared" si="3"/>
        <v>0</v>
      </c>
      <c r="AT61" s="227">
        <v>155</v>
      </c>
      <c r="AU61" s="228">
        <f t="shared" si="4"/>
        <v>31337.9</v>
      </c>
      <c r="AV61" s="279">
        <f t="shared" si="5"/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6"/>
        <v>68741.2</v>
      </c>
      <c r="AL62" s="272">
        <v>0</v>
      </c>
      <c r="AM62" s="212">
        <v>0</v>
      </c>
      <c r="AN62" s="269">
        <v>340</v>
      </c>
      <c r="AO62" s="217">
        <f t="shared" si="2"/>
        <v>68741.2</v>
      </c>
      <c r="AP62" s="232"/>
      <c r="AQ62" s="229"/>
      <c r="AR62" s="212">
        <v>202.18</v>
      </c>
      <c r="AS62" s="212">
        <f t="shared" si="3"/>
        <v>0</v>
      </c>
      <c r="AT62" s="227">
        <v>340</v>
      </c>
      <c r="AU62" s="228">
        <f t="shared" si="4"/>
        <v>68741.2</v>
      </c>
      <c r="AV62" s="279">
        <f t="shared" si="5"/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6"/>
        <v>49534.1</v>
      </c>
      <c r="AL63" s="272">
        <v>0</v>
      </c>
      <c r="AM63" s="212">
        <v>0</v>
      </c>
      <c r="AN63" s="269">
        <v>245</v>
      </c>
      <c r="AO63" s="217">
        <f t="shared" si="2"/>
        <v>49534.1</v>
      </c>
      <c r="AP63" s="232"/>
      <c r="AQ63" s="229"/>
      <c r="AR63" s="212">
        <v>202.18</v>
      </c>
      <c r="AS63" s="212">
        <f t="shared" si="3"/>
        <v>0</v>
      </c>
      <c r="AT63" s="227">
        <v>245</v>
      </c>
      <c r="AU63" s="228">
        <f t="shared" si="4"/>
        <v>49534.1</v>
      </c>
      <c r="AV63" s="279">
        <f t="shared" si="5"/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6"/>
        <v>112209.9</v>
      </c>
      <c r="AL64" s="272">
        <v>0</v>
      </c>
      <c r="AM64" s="212">
        <v>0</v>
      </c>
      <c r="AN64" s="269">
        <v>555</v>
      </c>
      <c r="AO64" s="217">
        <f t="shared" si="2"/>
        <v>112209.9</v>
      </c>
      <c r="AP64" s="232"/>
      <c r="AQ64" s="229"/>
      <c r="AR64" s="212">
        <v>202.18</v>
      </c>
      <c r="AS64" s="212">
        <f t="shared" si="3"/>
        <v>0</v>
      </c>
      <c r="AT64" s="227">
        <v>555</v>
      </c>
      <c r="AU64" s="228">
        <f t="shared" si="4"/>
        <v>112209.90000000001</v>
      </c>
      <c r="AV64" s="279">
        <f t="shared" si="5"/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6"/>
        <v>8820</v>
      </c>
      <c r="AL65" s="272">
        <v>0</v>
      </c>
      <c r="AM65" s="212">
        <v>0</v>
      </c>
      <c r="AN65" s="269">
        <v>45</v>
      </c>
      <c r="AO65" s="217">
        <f t="shared" si="2"/>
        <v>8820</v>
      </c>
      <c r="AP65" s="232"/>
      <c r="AQ65" s="229"/>
      <c r="AR65" s="212">
        <v>196</v>
      </c>
      <c r="AS65" s="212">
        <f t="shared" si="3"/>
        <v>0</v>
      </c>
      <c r="AT65" s="227">
        <v>45</v>
      </c>
      <c r="AU65" s="228">
        <f t="shared" si="4"/>
        <v>8820</v>
      </c>
      <c r="AV65" s="279">
        <f t="shared" si="5"/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6"/>
        <v>11119.9</v>
      </c>
      <c r="AL66" s="272">
        <v>0</v>
      </c>
      <c r="AM66" s="212">
        <v>0</v>
      </c>
      <c r="AN66" s="269">
        <v>55</v>
      </c>
      <c r="AO66" s="217">
        <f t="shared" si="2"/>
        <v>11119.9</v>
      </c>
      <c r="AP66" s="232"/>
      <c r="AQ66" s="229"/>
      <c r="AR66" s="212">
        <v>202.18</v>
      </c>
      <c r="AS66" s="212">
        <f t="shared" si="3"/>
        <v>0</v>
      </c>
      <c r="AT66" s="227">
        <v>55</v>
      </c>
      <c r="AU66" s="228">
        <f t="shared" si="4"/>
        <v>11119.9</v>
      </c>
      <c r="AV66" s="279">
        <f t="shared" si="5"/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6"/>
        <v>42457.8</v>
      </c>
      <c r="AL67" s="272">
        <v>0</v>
      </c>
      <c r="AM67" s="212">
        <v>0</v>
      </c>
      <c r="AN67" s="269">
        <v>210</v>
      </c>
      <c r="AO67" s="217">
        <f t="shared" si="2"/>
        <v>42457.8</v>
      </c>
      <c r="AP67" s="232"/>
      <c r="AQ67" s="229"/>
      <c r="AR67" s="212">
        <v>202.18</v>
      </c>
      <c r="AS67" s="212">
        <f t="shared" si="3"/>
        <v>0</v>
      </c>
      <c r="AT67" s="227">
        <v>210</v>
      </c>
      <c r="AU67" s="228">
        <f t="shared" si="4"/>
        <v>42457.8</v>
      </c>
      <c r="AV67" s="279">
        <f t="shared" si="5"/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6"/>
        <v>21228.9</v>
      </c>
      <c r="AL68" s="272">
        <v>0</v>
      </c>
      <c r="AM68" s="212">
        <v>0</v>
      </c>
      <c r="AN68" s="269">
        <v>105</v>
      </c>
      <c r="AO68" s="217">
        <f t="shared" si="2"/>
        <v>21228.9</v>
      </c>
      <c r="AP68" s="232"/>
      <c r="AQ68" s="229"/>
      <c r="AR68" s="212">
        <v>202.18</v>
      </c>
      <c r="AS68" s="212">
        <f t="shared" si="3"/>
        <v>0</v>
      </c>
      <c r="AT68" s="227">
        <v>105</v>
      </c>
      <c r="AU68" s="228">
        <f t="shared" si="4"/>
        <v>21228.9</v>
      </c>
      <c r="AV68" s="279">
        <f t="shared" si="5"/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6"/>
        <v>5880</v>
      </c>
      <c r="AL69" s="272">
        <v>0</v>
      </c>
      <c r="AM69" s="212">
        <v>0</v>
      </c>
      <c r="AN69" s="269">
        <v>30</v>
      </c>
      <c r="AO69" s="217">
        <v>0</v>
      </c>
      <c r="AP69" s="232"/>
      <c r="AQ69" s="229"/>
      <c r="AR69" s="212">
        <v>196</v>
      </c>
      <c r="AS69" s="212">
        <f t="shared" si="3"/>
        <v>0</v>
      </c>
      <c r="AT69" s="227">
        <v>30</v>
      </c>
      <c r="AU69" s="228">
        <f t="shared" si="4"/>
        <v>5880</v>
      </c>
      <c r="AV69" s="279">
        <f t="shared" si="5"/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6"/>
        <v>2100.4</v>
      </c>
      <c r="AL73" s="272">
        <v>0</v>
      </c>
      <c r="AM73" s="212">
        <v>0</v>
      </c>
      <c r="AN73" s="269">
        <v>10</v>
      </c>
      <c r="AO73" s="217">
        <f t="shared" si="2"/>
        <v>2100.4</v>
      </c>
      <c r="AP73" s="232"/>
      <c r="AQ73" s="229"/>
      <c r="AR73" s="212">
        <v>210.04</v>
      </c>
      <c r="AS73" s="212">
        <f t="shared" si="3"/>
        <v>0</v>
      </c>
      <c r="AT73" s="227">
        <v>10</v>
      </c>
      <c r="AU73" s="228">
        <f t="shared" si="4"/>
        <v>2100.4</v>
      </c>
      <c r="AV73" s="279">
        <f t="shared" si="5"/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6"/>
        <v>1019.35</v>
      </c>
      <c r="AL74" s="272">
        <v>0</v>
      </c>
      <c r="AM74" s="212">
        <v>0</v>
      </c>
      <c r="AN74" s="269">
        <v>5</v>
      </c>
      <c r="AO74" s="217">
        <f t="shared" si="2"/>
        <v>1019.35</v>
      </c>
      <c r="AP74" s="232"/>
      <c r="AQ74" s="229"/>
      <c r="AR74" s="212">
        <v>203.87</v>
      </c>
      <c r="AS74" s="212">
        <f t="shared" si="3"/>
        <v>0</v>
      </c>
      <c r="AT74" s="227">
        <v>5</v>
      </c>
      <c r="AU74" s="228">
        <f t="shared" si="4"/>
        <v>1019.35</v>
      </c>
      <c r="AV74" s="279">
        <f t="shared" si="5"/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6"/>
        <v>2388</v>
      </c>
      <c r="AL75" s="272">
        <v>0</v>
      </c>
      <c r="AM75" s="212">
        <v>0</v>
      </c>
      <c r="AN75" s="269">
        <v>8</v>
      </c>
      <c r="AO75" s="217">
        <f t="shared" si="2"/>
        <v>2388</v>
      </c>
      <c r="AP75" s="232"/>
      <c r="AQ75" s="229"/>
      <c r="AR75" s="212">
        <v>298.5</v>
      </c>
      <c r="AS75" s="212">
        <f t="shared" si="3"/>
        <v>0</v>
      </c>
      <c r="AT75" s="227">
        <v>8</v>
      </c>
      <c r="AU75" s="228">
        <f t="shared" si="4"/>
        <v>2388</v>
      </c>
      <c r="AV75" s="279">
        <f t="shared" si="5"/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6"/>
        <v>10149</v>
      </c>
      <c r="AL76" s="272">
        <v>0</v>
      </c>
      <c r="AM76" s="212">
        <v>0</v>
      </c>
      <c r="AN76" s="269">
        <v>34</v>
      </c>
      <c r="AO76" s="217">
        <f t="shared" si="2"/>
        <v>10149</v>
      </c>
      <c r="AP76" s="232"/>
      <c r="AQ76" s="229"/>
      <c r="AR76" s="212">
        <v>298.5</v>
      </c>
      <c r="AS76" s="212">
        <f t="shared" si="3"/>
        <v>0</v>
      </c>
      <c r="AT76" s="227">
        <v>34</v>
      </c>
      <c r="AU76" s="228">
        <f t="shared" si="4"/>
        <v>10149</v>
      </c>
      <c r="AV76" s="279">
        <f t="shared" si="5"/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6"/>
        <v>80595</v>
      </c>
      <c r="AL77" s="272">
        <v>0</v>
      </c>
      <c r="AM77" s="212">
        <v>0</v>
      </c>
      <c r="AN77" s="269">
        <v>270</v>
      </c>
      <c r="AO77" s="217">
        <f t="shared" si="2"/>
        <v>80595</v>
      </c>
      <c r="AP77" s="232"/>
      <c r="AQ77" s="229"/>
      <c r="AR77" s="212">
        <v>298.5</v>
      </c>
      <c r="AS77" s="212">
        <f t="shared" si="3"/>
        <v>0</v>
      </c>
      <c r="AT77" s="227">
        <v>270</v>
      </c>
      <c r="AU77" s="228">
        <f t="shared" si="4"/>
        <v>80595</v>
      </c>
      <c r="AV77" s="279">
        <f t="shared" si="5"/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6"/>
        <v>11940</v>
      </c>
      <c r="AL78" s="272">
        <v>0</v>
      </c>
      <c r="AM78" s="212">
        <v>0</v>
      </c>
      <c r="AN78" s="269">
        <v>40</v>
      </c>
      <c r="AO78" s="217">
        <f t="shared" si="2"/>
        <v>11940</v>
      </c>
      <c r="AP78" s="232"/>
      <c r="AQ78" s="229"/>
      <c r="AR78" s="212">
        <v>298.5</v>
      </c>
      <c r="AS78" s="212">
        <f t="shared" si="3"/>
        <v>0</v>
      </c>
      <c r="AT78" s="227">
        <v>40</v>
      </c>
      <c r="AU78" s="228">
        <f t="shared" si="4"/>
        <v>11940</v>
      </c>
      <c r="AV78" s="279">
        <f t="shared" si="5"/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6"/>
        <v>16794.400000000001</v>
      </c>
      <c r="AL79" s="272">
        <v>0</v>
      </c>
      <c r="AM79" s="212">
        <v>0</v>
      </c>
      <c r="AN79" s="269">
        <v>56</v>
      </c>
      <c r="AO79" s="217">
        <f t="shared" si="2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27">
        <f>18-18</f>
        <v>0</v>
      </c>
      <c r="AU79" s="228">
        <f t="shared" si="4"/>
        <v>0</v>
      </c>
      <c r="AV79" s="279">
        <f t="shared" si="5"/>
        <v>0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6"/>
        <v>152949</v>
      </c>
      <c r="AL80" s="272">
        <v>0</v>
      </c>
      <c r="AM80" s="212">
        <v>0</v>
      </c>
      <c r="AN80" s="269">
        <v>510</v>
      </c>
      <c r="AO80" s="217">
        <f t="shared" si="2"/>
        <v>152949</v>
      </c>
      <c r="AP80" s="232"/>
      <c r="AQ80" s="229"/>
      <c r="AR80" s="212">
        <v>299.89999999999998</v>
      </c>
      <c r="AS80" s="212">
        <f t="shared" si="3"/>
        <v>0</v>
      </c>
      <c r="AT80" s="227">
        <f>510-42</f>
        <v>468</v>
      </c>
      <c r="AU80" s="228">
        <f t="shared" si="4"/>
        <v>140353.19999999998</v>
      </c>
      <c r="AV80" s="279">
        <f t="shared" si="5"/>
        <v>468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6"/>
        <v>102541.65</v>
      </c>
      <c r="AL81" s="272">
        <f>180+290</f>
        <v>470</v>
      </c>
      <c r="AM81" s="212">
        <f>AL81*AR81</f>
        <v>7261.5</v>
      </c>
      <c r="AN81" s="269">
        <v>6167</v>
      </c>
      <c r="AO81" s="217">
        <f t="shared" si="2"/>
        <v>95280.15</v>
      </c>
      <c r="AP81" s="232"/>
      <c r="AQ81" s="229"/>
      <c r="AR81" s="212">
        <v>15.45</v>
      </c>
      <c r="AS81" s="212">
        <f t="shared" si="3"/>
        <v>0</v>
      </c>
      <c r="AT81" s="227">
        <f>5867-550</f>
        <v>5317</v>
      </c>
      <c r="AU81" s="228">
        <f t="shared" si="4"/>
        <v>82147.649999999994</v>
      </c>
      <c r="AV81" s="279">
        <f t="shared" si="5"/>
        <v>5317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8">J82*K82</f>
        <v>0</v>
      </c>
      <c r="N82" s="243">
        <f t="shared" ref="N82:N84" si="9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6"/>
        <v>2142.7199999999998</v>
      </c>
      <c r="AL82" s="272">
        <v>0</v>
      </c>
      <c r="AM82" s="212">
        <v>0</v>
      </c>
      <c r="AN82" s="269">
        <v>144</v>
      </c>
      <c r="AO82" s="217">
        <f t="shared" ref="AO82" si="10">AC82+AK82-AM82</f>
        <v>2142.7199999999998</v>
      </c>
      <c r="AP82" s="232"/>
      <c r="AQ82" s="229"/>
      <c r="AR82" s="212">
        <v>14.88</v>
      </c>
      <c r="AS82" s="212">
        <f t="shared" si="3"/>
        <v>0</v>
      </c>
      <c r="AT82" s="227">
        <v>144</v>
      </c>
      <c r="AU82" s="228">
        <f t="shared" si="4"/>
        <v>2142.7200000000003</v>
      </c>
      <c r="AV82" s="279">
        <f t="shared" ref="AV82:AV90" si="11">AT82</f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8"/>
        <v>0</v>
      </c>
      <c r="N83" s="243">
        <f t="shared" si="9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6"/>
        <v>1130.8800000000001</v>
      </c>
      <c r="AL83" s="272">
        <v>0</v>
      </c>
      <c r="AM83" s="212">
        <v>0</v>
      </c>
      <c r="AN83" s="269">
        <v>76</v>
      </c>
      <c r="AO83" s="217">
        <v>0</v>
      </c>
      <c r="AP83" s="232"/>
      <c r="AQ83" s="229"/>
      <c r="AR83" s="212">
        <v>14.88</v>
      </c>
      <c r="AS83" s="212">
        <f t="shared" si="3"/>
        <v>0</v>
      </c>
      <c r="AT83" s="227">
        <v>76</v>
      </c>
      <c r="AU83" s="228">
        <f t="shared" si="4"/>
        <v>1130.8800000000001</v>
      </c>
      <c r="AV83" s="279">
        <f t="shared" si="11"/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9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6"/>
        <v>9062.24</v>
      </c>
      <c r="AL84" s="272">
        <v>0</v>
      </c>
      <c r="AM84" s="212">
        <v>0</v>
      </c>
      <c r="AN84" s="269">
        <v>4</v>
      </c>
      <c r="AO84" s="217">
        <f t="shared" ref="AO84:AO90" si="12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27">
        <v>4</v>
      </c>
      <c r="AU84" s="228">
        <f t="shared" si="4"/>
        <v>9062.24</v>
      </c>
      <c r="AV84" s="279">
        <f t="shared" si="11"/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3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6"/>
        <v>4531.12</v>
      </c>
      <c r="AL85" s="272">
        <v>0</v>
      </c>
      <c r="AM85" s="212">
        <v>0</v>
      </c>
      <c r="AN85" s="269">
        <v>2</v>
      </c>
      <c r="AO85" s="217">
        <f t="shared" si="12"/>
        <v>4531.12</v>
      </c>
      <c r="AP85" s="232"/>
      <c r="AQ85" s="229"/>
      <c r="AR85" s="212">
        <v>2265.56</v>
      </c>
      <c r="AS85" s="212">
        <f t="shared" ref="AS85:AS90" si="14">AQ85*AR85</f>
        <v>0</v>
      </c>
      <c r="AT85" s="227">
        <v>2</v>
      </c>
      <c r="AU85" s="228">
        <f t="shared" ref="AU85:AU90" si="15">AT85*AR85</f>
        <v>4531.12</v>
      </c>
      <c r="AV85" s="279">
        <f t="shared" si="11"/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3"/>
        <v>144</v>
      </c>
      <c r="N86" s="243">
        <f t="shared" ref="N86:N90" si="16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K90" si="17">AD86+AF86+AH86</f>
        <v>14</v>
      </c>
      <c r="AK86" s="170">
        <f t="shared" si="17"/>
        <v>774.48</v>
      </c>
      <c r="AL86" s="272">
        <v>0</v>
      </c>
      <c r="AM86" s="212">
        <v>0</v>
      </c>
      <c r="AN86" s="269">
        <v>14</v>
      </c>
      <c r="AO86" s="217">
        <f t="shared" si="12"/>
        <v>774.48</v>
      </c>
      <c r="AP86" s="232"/>
      <c r="AQ86" s="229"/>
      <c r="AR86" s="212">
        <v>55.32</v>
      </c>
      <c r="AS86" s="212">
        <f t="shared" si="14"/>
        <v>0</v>
      </c>
      <c r="AT86" s="227">
        <f>14-2</f>
        <v>12</v>
      </c>
      <c r="AU86" s="228">
        <f t="shared" si="15"/>
        <v>663.84</v>
      </c>
      <c r="AV86" s="279">
        <f t="shared" si="11"/>
        <v>12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3"/>
        <v>0</v>
      </c>
      <c r="N87" s="243">
        <f t="shared" si="16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17"/>
        <v>26</v>
      </c>
      <c r="AK87" s="170">
        <f t="shared" si="17"/>
        <v>1438.32</v>
      </c>
      <c r="AL87" s="272">
        <v>0</v>
      </c>
      <c r="AM87" s="212">
        <v>0</v>
      </c>
      <c r="AN87" s="269">
        <v>26</v>
      </c>
      <c r="AO87" s="217">
        <f t="shared" si="12"/>
        <v>1438.32</v>
      </c>
      <c r="AP87" s="232"/>
      <c r="AQ87" s="229"/>
      <c r="AR87" s="212">
        <v>55.32</v>
      </c>
      <c r="AS87" s="212">
        <f t="shared" si="14"/>
        <v>0</v>
      </c>
      <c r="AT87" s="227">
        <v>26</v>
      </c>
      <c r="AU87" s="228">
        <f t="shared" si="15"/>
        <v>1438.32</v>
      </c>
      <c r="AV87" s="279">
        <f t="shared" si="11"/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3"/>
        <v>96</v>
      </c>
      <c r="N88" s="243">
        <f t="shared" si="16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17"/>
        <v>6</v>
      </c>
      <c r="AK88" s="170">
        <f t="shared" si="17"/>
        <v>4549.08</v>
      </c>
      <c r="AL88" s="272">
        <v>0</v>
      </c>
      <c r="AM88" s="212">
        <v>0</v>
      </c>
      <c r="AN88" s="269">
        <v>6</v>
      </c>
      <c r="AO88" s="217">
        <f t="shared" si="12"/>
        <v>4549.08</v>
      </c>
      <c r="AP88" s="232"/>
      <c r="AQ88" s="229"/>
      <c r="AR88" s="212">
        <v>758.18</v>
      </c>
      <c r="AS88" s="212">
        <f t="shared" si="14"/>
        <v>0</v>
      </c>
      <c r="AT88" s="227">
        <v>6</v>
      </c>
      <c r="AU88" s="228">
        <f t="shared" si="15"/>
        <v>4549.08</v>
      </c>
      <c r="AV88" s="279">
        <f t="shared" si="11"/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3"/>
        <v>0</v>
      </c>
      <c r="N89" s="243">
        <f t="shared" si="16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17"/>
        <v>10</v>
      </c>
      <c r="AK89" s="170">
        <f t="shared" si="17"/>
        <v>7581.8</v>
      </c>
      <c r="AL89" s="272">
        <v>0</v>
      </c>
      <c r="AM89" s="212">
        <v>0</v>
      </c>
      <c r="AN89" s="269">
        <v>10</v>
      </c>
      <c r="AO89" s="217">
        <f t="shared" si="12"/>
        <v>7581.8</v>
      </c>
      <c r="AP89" s="232"/>
      <c r="AQ89" s="229"/>
      <c r="AR89" s="212">
        <v>758.18</v>
      </c>
      <c r="AS89" s="212">
        <f t="shared" si="14"/>
        <v>0</v>
      </c>
      <c r="AT89" s="227">
        <v>10</v>
      </c>
      <c r="AU89" s="228">
        <f t="shared" si="15"/>
        <v>7581.7999999999993</v>
      </c>
      <c r="AV89" s="279">
        <f t="shared" si="11"/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3"/>
        <v>16</v>
      </c>
      <c r="N90" s="243">
        <f t="shared" si="16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17"/>
        <v>2</v>
      </c>
      <c r="AK90" s="170">
        <f t="shared" si="17"/>
        <v>4040.8</v>
      </c>
      <c r="AL90" s="272">
        <v>0</v>
      </c>
      <c r="AM90" s="212">
        <v>0</v>
      </c>
      <c r="AN90" s="269">
        <v>2</v>
      </c>
      <c r="AO90" s="217">
        <f t="shared" si="12"/>
        <v>4040.8</v>
      </c>
      <c r="AP90" s="232"/>
      <c r="AQ90" s="229"/>
      <c r="AR90" s="212">
        <v>2020.4</v>
      </c>
      <c r="AS90" s="212">
        <f t="shared" si="14"/>
        <v>0</v>
      </c>
      <c r="AT90" s="227">
        <v>2</v>
      </c>
      <c r="AU90" s="228">
        <f t="shared" si="15"/>
        <v>4040.8</v>
      </c>
      <c r="AV90" s="279">
        <f t="shared" si="11"/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18">SUM(P17:P90)</f>
        <v>1903757.27</v>
      </c>
      <c r="Q91" s="248"/>
      <c r="R91" s="249">
        <f t="shared" si="18"/>
        <v>1395649.94</v>
      </c>
      <c r="S91" s="248"/>
      <c r="T91" s="249">
        <f t="shared" si="18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M91" si="19">SUM(AE17:AE90)</f>
        <v>1524549.46</v>
      </c>
      <c r="AF91" s="210">
        <f t="shared" si="19"/>
        <v>0</v>
      </c>
      <c r="AG91" s="195">
        <f t="shared" si="19"/>
        <v>0</v>
      </c>
      <c r="AH91" s="210">
        <f t="shared" si="19"/>
        <v>0</v>
      </c>
      <c r="AI91" s="195">
        <f t="shared" si="19"/>
        <v>0</v>
      </c>
      <c r="AJ91" s="230">
        <f t="shared" si="19"/>
        <v>13168</v>
      </c>
      <c r="AK91" s="175">
        <f>SUM(AK17:AK90)</f>
        <v>1524549.46</v>
      </c>
      <c r="AL91" s="213">
        <f t="shared" si="19"/>
        <v>2245</v>
      </c>
      <c r="AM91" s="214">
        <f t="shared" si="19"/>
        <v>504590.05000000005</v>
      </c>
      <c r="AN91" s="218">
        <f>SUM(AN17:AN90)</f>
        <v>12265</v>
      </c>
      <c r="AO91" s="219">
        <f>SUM(AO17:AO90)</f>
        <v>1495993.66</v>
      </c>
      <c r="AP91" s="286">
        <f>SUM(AP17:AP90)</f>
        <v>0</v>
      </c>
      <c r="AQ91" s="287">
        <f>SUM(AQ17:AQ90)</f>
        <v>0</v>
      </c>
      <c r="AR91" s="226" t="s">
        <v>156</v>
      </c>
      <c r="AS91" s="226">
        <f>SUM(AS17:AS90)</f>
        <v>0</v>
      </c>
      <c r="AT91" s="227">
        <f>SUM(AT17:AT90)</f>
        <v>10353</v>
      </c>
      <c r="AU91" s="228">
        <f>SUM(AU17:AU90)</f>
        <v>1212451.4200000004</v>
      </c>
      <c r="AV91" s="236">
        <f>SUM(AV17:AV90)</f>
        <v>10353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hidden="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 hidden="1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hidden="1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hidden="1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 hidden="1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413"/>
      <c r="AR99" s="255"/>
      <c r="AS99" s="255"/>
      <c r="AT99" s="413"/>
      <c r="AU99" s="413"/>
      <c r="AV99" s="413"/>
    </row>
    <row r="100" spans="1:48" s="103" customFormat="1" ht="57.75" hidden="1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413"/>
      <c r="AR100" s="255"/>
      <c r="AS100" s="255"/>
      <c r="AT100" s="413"/>
      <c r="AU100" s="413"/>
      <c r="AV100" s="413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1:F91"/>
    <mergeCell ref="H98:J98"/>
    <mergeCell ref="U14:U16"/>
    <mergeCell ref="V14:W15"/>
    <mergeCell ref="O15:P15"/>
    <mergeCell ref="Q15:R15"/>
    <mergeCell ref="S15:T15"/>
    <mergeCell ref="E100:F100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4"/>
  <sheetViews>
    <sheetView view="pageBreakPreview" topLeftCell="C73" zoomScale="70" zoomScaleSheetLayoutView="70" workbookViewId="0">
      <selection activeCell="AV87" sqref="AV87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19"/>
      <c r="AR1" s="255"/>
      <c r="AS1" s="255"/>
      <c r="AT1" s="419"/>
      <c r="AU1" s="419"/>
      <c r="AV1" s="419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19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19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235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19"/>
      <c r="AR12" s="255"/>
      <c r="AS12" s="255"/>
      <c r="AT12" s="420"/>
      <c r="AU12" s="420"/>
      <c r="AV12" s="420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234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15" t="s">
        <v>77</v>
      </c>
      <c r="N16" s="415" t="s">
        <v>78</v>
      </c>
      <c r="O16" s="415" t="s">
        <v>77</v>
      </c>
      <c r="P16" s="415" t="s">
        <v>78</v>
      </c>
      <c r="Q16" s="415" t="s">
        <v>77</v>
      </c>
      <c r="R16" s="415" t="s">
        <v>78</v>
      </c>
      <c r="S16" s="415" t="s">
        <v>77</v>
      </c>
      <c r="T16" s="415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16" t="s">
        <v>77</v>
      </c>
      <c r="AE16" s="416" t="s">
        <v>78</v>
      </c>
      <c r="AF16" s="205" t="s">
        <v>77</v>
      </c>
      <c r="AG16" s="205" t="s">
        <v>78</v>
      </c>
      <c r="AH16" s="416" t="s">
        <v>77</v>
      </c>
      <c r="AI16" s="416" t="s">
        <v>78</v>
      </c>
      <c r="AJ16" s="97" t="s">
        <v>96</v>
      </c>
      <c r="AK16" s="96" t="s">
        <v>19</v>
      </c>
      <c r="AL16" s="417" t="s">
        <v>96</v>
      </c>
      <c r="AM16" s="417" t="s">
        <v>19</v>
      </c>
      <c r="AN16" s="216" t="s">
        <v>96</v>
      </c>
      <c r="AO16" s="216" t="s">
        <v>19</v>
      </c>
      <c r="AP16" s="207" t="s">
        <v>96</v>
      </c>
      <c r="AQ16" s="417" t="s">
        <v>96</v>
      </c>
      <c r="AR16" s="417" t="s">
        <v>107</v>
      </c>
      <c r="AS16" s="417" t="s">
        <v>19</v>
      </c>
      <c r="AT16" s="418" t="s">
        <v>96</v>
      </c>
      <c r="AU16" s="418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>
        <v>1</v>
      </c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2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27">
        <v>1</v>
      </c>
      <c r="AU18" s="228">
        <f t="shared" ref="AU18:AU87" si="4">AT18*AR18</f>
        <v>1026.1600000000001</v>
      </c>
      <c r="AV18" s="279">
        <f t="shared" ref="AV18:AV83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8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51" t="s">
        <v>44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51" t="s">
        <v>44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6"/>
        <v>0</v>
      </c>
      <c r="AL33" s="272">
        <v>34</v>
      </c>
      <c r="AM33" s="212">
        <f>10149</f>
        <v>10149</v>
      </c>
      <c r="AN33" s="269"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61">
        <f>52-50-2</f>
        <v>0</v>
      </c>
      <c r="AU33" s="262">
        <f t="shared" si="4"/>
        <v>0</v>
      </c>
      <c r="AV33" s="406">
        <f t="shared" si="5"/>
        <v>0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6"/>
        <v>8028.3</v>
      </c>
      <c r="AL38" s="272">
        <v>0</v>
      </c>
      <c r="AM38" s="212">
        <v>0</v>
      </c>
      <c r="AN38" s="269"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27">
        <v>15</v>
      </c>
      <c r="AU38" s="228">
        <f t="shared" si="4"/>
        <v>8028.3</v>
      </c>
      <c r="AV38" s="279">
        <f t="shared" si="5"/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6"/>
        <v>31814.25</v>
      </c>
      <c r="AL41" s="272">
        <v>0</v>
      </c>
      <c r="AM41" s="212">
        <v>0</v>
      </c>
      <c r="AN41" s="269"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27">
        <f>35-35</f>
        <v>0</v>
      </c>
      <c r="AU41" s="228">
        <f t="shared" si="4"/>
        <v>0</v>
      </c>
      <c r="AV41" s="279">
        <f t="shared" si="5"/>
        <v>0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6"/>
        <v>22239.8</v>
      </c>
      <c r="AL45" s="272">
        <v>0</v>
      </c>
      <c r="AM45" s="212">
        <v>0</v>
      </c>
      <c r="AN45" s="269"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27">
        <f>25-25</f>
        <v>0</v>
      </c>
      <c r="AU45" s="228">
        <f t="shared" si="4"/>
        <v>0</v>
      </c>
      <c r="AV45" s="279">
        <f t="shared" si="5"/>
        <v>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6"/>
        <v>21228.9</v>
      </c>
      <c r="AL46" s="272">
        <v>0</v>
      </c>
      <c r="AM46" s="212">
        <v>0</v>
      </c>
      <c r="AN46" s="269"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27">
        <f>105-105</f>
        <v>0</v>
      </c>
      <c r="AU46" s="228">
        <f t="shared" si="4"/>
        <v>0</v>
      </c>
      <c r="AV46" s="279">
        <f t="shared" si="5"/>
        <v>0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6"/>
        <v>16174.4</v>
      </c>
      <c r="AL47" s="272">
        <v>0</v>
      </c>
      <c r="AM47" s="212">
        <v>0</v>
      </c>
      <c r="AN47" s="269"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27">
        <f>80-80</f>
        <v>0</v>
      </c>
      <c r="AU47" s="228">
        <f t="shared" si="4"/>
        <v>0</v>
      </c>
      <c r="AV47" s="279">
        <f t="shared" si="5"/>
        <v>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6"/>
        <v>19207.099999999999</v>
      </c>
      <c r="AL48" s="272">
        <v>0</v>
      </c>
      <c r="AM48" s="212">
        <v>0</v>
      </c>
      <c r="AN48" s="269"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27">
        <f>95-45</f>
        <v>50</v>
      </c>
      <c r="AU48" s="228">
        <f t="shared" si="4"/>
        <v>10109</v>
      </c>
      <c r="AV48" s="279">
        <f t="shared" si="5"/>
        <v>50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6"/>
        <v>3920</v>
      </c>
      <c r="AL49" s="272">
        <v>0</v>
      </c>
      <c r="AM49" s="212">
        <v>0</v>
      </c>
      <c r="AN49" s="269">
        <v>20</v>
      </c>
      <c r="AO49" s="217">
        <f t="shared" si="2"/>
        <v>3920</v>
      </c>
      <c r="AP49" s="232"/>
      <c r="AQ49" s="229"/>
      <c r="AR49" s="212">
        <v>196</v>
      </c>
      <c r="AS49" s="212">
        <f t="shared" si="3"/>
        <v>0</v>
      </c>
      <c r="AT49" s="227">
        <v>20</v>
      </c>
      <c r="AU49" s="228">
        <f t="shared" si="4"/>
        <v>3920</v>
      </c>
      <c r="AV49" s="279">
        <f t="shared" si="5"/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v>225</v>
      </c>
      <c r="AU50" s="228">
        <f t="shared" si="4"/>
        <v>45490.5</v>
      </c>
      <c r="AV50" s="279">
        <f t="shared" si="5"/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6.25" customHeight="1">
      <c r="A52" s="59"/>
      <c r="B52" s="60"/>
      <c r="C52" s="427"/>
      <c r="D52" s="428"/>
      <c r="E52" s="79"/>
      <c r="F52" s="149" t="s">
        <v>44</v>
      </c>
      <c r="G52" s="222" t="s">
        <v>116</v>
      </c>
      <c r="H52" s="193"/>
      <c r="I52" s="193"/>
      <c r="J52" s="193"/>
      <c r="K52" s="193"/>
      <c r="L52" s="243"/>
      <c r="M52" s="242"/>
      <c r="N52" s="243"/>
      <c r="O52" s="193"/>
      <c r="P52" s="243"/>
      <c r="Q52" s="193"/>
      <c r="R52" s="243"/>
      <c r="S52" s="193"/>
      <c r="T52" s="243"/>
      <c r="U52" s="203"/>
      <c r="V52" s="115"/>
      <c r="W52" s="114"/>
      <c r="X52" s="193"/>
      <c r="Y52" s="200"/>
      <c r="Z52" s="193"/>
      <c r="AA52" s="200"/>
      <c r="AB52" s="22"/>
      <c r="AC52" s="170"/>
      <c r="AD52" s="209"/>
      <c r="AE52" s="194"/>
      <c r="AF52" s="209"/>
      <c r="AG52" s="194"/>
      <c r="AH52" s="209"/>
      <c r="AI52" s="194"/>
      <c r="AJ52" s="233">
        <v>15</v>
      </c>
      <c r="AK52" s="170"/>
      <c r="AL52" s="272"/>
      <c r="AM52" s="212"/>
      <c r="AN52" s="269"/>
      <c r="AO52" s="217"/>
      <c r="AP52" s="232"/>
      <c r="AQ52" s="229"/>
      <c r="AR52" s="212"/>
      <c r="AS52" s="212"/>
      <c r="AT52" s="227">
        <v>15</v>
      </c>
      <c r="AU52" s="228"/>
      <c r="AV52" s="279">
        <v>15</v>
      </c>
    </row>
    <row r="53" spans="1:48" s="62" customFormat="1" ht="27" customHeight="1">
      <c r="A53" s="59"/>
      <c r="B53" s="60"/>
      <c r="C53" s="60"/>
      <c r="D53" s="22">
        <v>36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112</v>
      </c>
      <c r="V53" s="115">
        <v>1625</v>
      </c>
      <c r="W53" s="114">
        <v>43087</v>
      </c>
      <c r="X53" s="115" t="s">
        <v>109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5</v>
      </c>
      <c r="AE53" s="170">
        <v>1010.9</v>
      </c>
      <c r="AF53" s="208"/>
      <c r="AG53" s="170"/>
      <c r="AH53" s="208"/>
      <c r="AI53" s="170"/>
      <c r="AJ53" s="233">
        <f t="shared" si="6"/>
        <v>5</v>
      </c>
      <c r="AK53" s="170">
        <f t="shared" si="6"/>
        <v>1010.9</v>
      </c>
      <c r="AL53" s="270">
        <v>5</v>
      </c>
      <c r="AM53" s="170">
        <v>1010.9</v>
      </c>
      <c r="AN53" s="270">
        <v>0</v>
      </c>
      <c r="AO53" s="170">
        <f t="shared" si="2"/>
        <v>0</v>
      </c>
      <c r="AP53" s="233"/>
      <c r="AQ53" s="233"/>
      <c r="AR53" s="170"/>
      <c r="AS53" s="170">
        <f t="shared" si="3"/>
        <v>0</v>
      </c>
      <c r="AT53" s="208">
        <v>0</v>
      </c>
      <c r="AU53" s="170">
        <f t="shared" si="4"/>
        <v>0</v>
      </c>
      <c r="AV53" s="233">
        <f t="shared" si="5"/>
        <v>0</v>
      </c>
    </row>
    <row r="54" spans="1:48" s="62" customFormat="1" ht="27" customHeight="1">
      <c r="A54" s="59"/>
      <c r="B54" s="60"/>
      <c r="C54" s="60"/>
      <c r="D54" s="22">
        <v>37</v>
      </c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>
        <v>2016</v>
      </c>
      <c r="K54" s="115">
        <v>2</v>
      </c>
      <c r="L54" s="276">
        <v>199.06</v>
      </c>
      <c r="M54" s="277">
        <f t="shared" si="0"/>
        <v>4032</v>
      </c>
      <c r="N54" s="276">
        <f t="shared" si="1"/>
        <v>802609.92</v>
      </c>
      <c r="O54" s="115">
        <v>4130</v>
      </c>
      <c r="P54" s="276">
        <v>1054554.2</v>
      </c>
      <c r="Q54" s="115"/>
      <c r="R54" s="276"/>
      <c r="S54" s="115"/>
      <c r="T54" s="276"/>
      <c r="U54" s="278" t="s">
        <v>112</v>
      </c>
      <c r="V54" s="115">
        <v>1583</v>
      </c>
      <c r="W54" s="114">
        <v>43082</v>
      </c>
      <c r="X54" s="115" t="s">
        <v>113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490</v>
      </c>
      <c r="AE54" s="170">
        <v>99068.2</v>
      </c>
      <c r="AF54" s="208"/>
      <c r="AG54" s="170"/>
      <c r="AH54" s="208"/>
      <c r="AI54" s="170"/>
      <c r="AJ54" s="233">
        <f t="shared" si="6"/>
        <v>490</v>
      </c>
      <c r="AK54" s="170">
        <f t="shared" si="6"/>
        <v>99068.2</v>
      </c>
      <c r="AL54" s="270">
        <f>135+130+130</f>
        <v>395</v>
      </c>
      <c r="AM54" s="170">
        <f>AL54*AR54</f>
        <v>79861.100000000006</v>
      </c>
      <c r="AN54" s="270">
        <v>95</v>
      </c>
      <c r="AO54" s="170">
        <f t="shared" si="2"/>
        <v>19207.099999999991</v>
      </c>
      <c r="AP54" s="233"/>
      <c r="AQ54" s="233"/>
      <c r="AR54" s="170">
        <v>202.18</v>
      </c>
      <c r="AS54" s="170">
        <f t="shared" si="3"/>
        <v>0</v>
      </c>
      <c r="AT54" s="233">
        <v>0</v>
      </c>
      <c r="AU54" s="386">
        <f t="shared" si="4"/>
        <v>0</v>
      </c>
      <c r="AV54" s="233">
        <f t="shared" si="5"/>
        <v>0</v>
      </c>
    </row>
    <row r="55" spans="1:48" s="139" customFormat="1" ht="27" customHeight="1">
      <c r="A55" s="136"/>
      <c r="B55" s="137"/>
      <c r="C55" s="60"/>
      <c r="D55" s="22">
        <v>38</v>
      </c>
      <c r="E55" s="79" t="s">
        <v>24</v>
      </c>
      <c r="F55" s="53" t="s">
        <v>52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112</v>
      </c>
      <c r="V55" s="115">
        <v>1745</v>
      </c>
      <c r="W55" s="114">
        <v>43096</v>
      </c>
      <c r="X55" s="193" t="s">
        <v>117</v>
      </c>
      <c r="Y55" s="200">
        <v>43109</v>
      </c>
      <c r="Z55" s="193" t="s">
        <v>118</v>
      </c>
      <c r="AA55" s="200">
        <v>43133</v>
      </c>
      <c r="AB55" s="22">
        <v>0</v>
      </c>
      <c r="AC55" s="170">
        <v>0</v>
      </c>
      <c r="AD55" s="209">
        <v>195</v>
      </c>
      <c r="AE55" s="194">
        <v>39425.1</v>
      </c>
      <c r="AF55" s="209"/>
      <c r="AG55" s="194"/>
      <c r="AH55" s="209"/>
      <c r="AI55" s="194"/>
      <c r="AJ55" s="233">
        <f t="shared" si="6"/>
        <v>195</v>
      </c>
      <c r="AK55" s="170">
        <f t="shared" si="6"/>
        <v>39425.1</v>
      </c>
      <c r="AL55" s="272">
        <v>0</v>
      </c>
      <c r="AM55" s="212">
        <v>0</v>
      </c>
      <c r="AN55" s="269">
        <v>195</v>
      </c>
      <c r="AO55" s="217">
        <f t="shared" si="2"/>
        <v>39425.1</v>
      </c>
      <c r="AP55" s="232"/>
      <c r="AQ55" s="229"/>
      <c r="AR55" s="212">
        <v>202.18</v>
      </c>
      <c r="AS55" s="212">
        <f t="shared" si="3"/>
        <v>0</v>
      </c>
      <c r="AT55" s="227">
        <f>160-140</f>
        <v>20</v>
      </c>
      <c r="AU55" s="228">
        <f t="shared" si="4"/>
        <v>4043.6000000000004</v>
      </c>
      <c r="AV55" s="279">
        <f t="shared" si="5"/>
        <v>20</v>
      </c>
    </row>
    <row r="56" spans="1:48" s="62" customFormat="1" ht="26.25" customHeight="1">
      <c r="A56" s="59"/>
      <c r="B56" s="60"/>
      <c r="C56" s="60"/>
      <c r="D56" s="22">
        <v>39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426</v>
      </c>
      <c r="W56" s="114">
        <v>43164</v>
      </c>
      <c r="X56" s="193" t="s">
        <v>141</v>
      </c>
      <c r="Y56" s="200">
        <v>43164</v>
      </c>
      <c r="Z56" s="193" t="s">
        <v>142</v>
      </c>
      <c r="AA56" s="200">
        <v>43230</v>
      </c>
      <c r="AB56" s="22">
        <v>0</v>
      </c>
      <c r="AC56" s="170">
        <v>0</v>
      </c>
      <c r="AD56" s="209">
        <v>170</v>
      </c>
      <c r="AE56" s="194">
        <v>34370.6</v>
      </c>
      <c r="AF56" s="209"/>
      <c r="AG56" s="194"/>
      <c r="AH56" s="209"/>
      <c r="AI56" s="194"/>
      <c r="AJ56" s="233">
        <f t="shared" si="6"/>
        <v>170</v>
      </c>
      <c r="AK56" s="170">
        <f t="shared" si="6"/>
        <v>34370.6</v>
      </c>
      <c r="AL56" s="272">
        <v>0</v>
      </c>
      <c r="AM56" s="212">
        <v>0</v>
      </c>
      <c r="AN56" s="269">
        <v>170</v>
      </c>
      <c r="AO56" s="217">
        <f t="shared" si="2"/>
        <v>34370.6</v>
      </c>
      <c r="AP56" s="232"/>
      <c r="AQ56" s="229"/>
      <c r="AR56" s="212">
        <v>202.18</v>
      </c>
      <c r="AS56" s="212">
        <f t="shared" si="3"/>
        <v>0</v>
      </c>
      <c r="AT56" s="227">
        <v>170</v>
      </c>
      <c r="AU56" s="228">
        <f t="shared" si="4"/>
        <v>34370.6</v>
      </c>
      <c r="AV56" s="279">
        <f t="shared" si="5"/>
        <v>170</v>
      </c>
    </row>
    <row r="57" spans="1:48" s="62" customFormat="1" ht="26.25" customHeight="1">
      <c r="A57" s="59"/>
      <c r="B57" s="60"/>
      <c r="C57" s="60"/>
      <c r="D57" s="22">
        <v>40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320</v>
      </c>
      <c r="AE57" s="194">
        <v>64697.599999999999</v>
      </c>
      <c r="AF57" s="209"/>
      <c r="AG57" s="194"/>
      <c r="AH57" s="209"/>
      <c r="AI57" s="194"/>
      <c r="AJ57" s="233">
        <f t="shared" si="6"/>
        <v>320</v>
      </c>
      <c r="AK57" s="170">
        <f t="shared" si="6"/>
        <v>64697.599999999999</v>
      </c>
      <c r="AL57" s="272">
        <v>0</v>
      </c>
      <c r="AM57" s="212">
        <v>0</v>
      </c>
      <c r="AN57" s="269">
        <v>320</v>
      </c>
      <c r="AO57" s="217">
        <f t="shared" si="2"/>
        <v>64697.599999999999</v>
      </c>
      <c r="AP57" s="232"/>
      <c r="AQ57" s="229"/>
      <c r="AR57" s="212">
        <v>202.18</v>
      </c>
      <c r="AS57" s="212">
        <f t="shared" si="3"/>
        <v>0</v>
      </c>
      <c r="AT57" s="227">
        <v>320</v>
      </c>
      <c r="AU57" s="228">
        <f t="shared" si="4"/>
        <v>64697.600000000006</v>
      </c>
      <c r="AV57" s="279">
        <f t="shared" si="5"/>
        <v>320</v>
      </c>
    </row>
    <row r="58" spans="1:48" s="62" customFormat="1" ht="26.25" customHeight="1">
      <c r="A58" s="59"/>
      <c r="B58" s="60"/>
      <c r="C58" s="60"/>
      <c r="D58" s="22">
        <v>41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132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15</v>
      </c>
      <c r="AE58" s="194">
        <v>3032.7</v>
      </c>
      <c r="AF58" s="209"/>
      <c r="AG58" s="194"/>
      <c r="AH58" s="209"/>
      <c r="AI58" s="194"/>
      <c r="AJ58" s="233">
        <f t="shared" si="6"/>
        <v>15</v>
      </c>
      <c r="AK58" s="170">
        <f t="shared" si="6"/>
        <v>3032.7</v>
      </c>
      <c r="AL58" s="272">
        <v>0</v>
      </c>
      <c r="AM58" s="212">
        <v>0</v>
      </c>
      <c r="AN58" s="269">
        <v>15</v>
      </c>
      <c r="AO58" s="217">
        <f t="shared" si="2"/>
        <v>3032.7</v>
      </c>
      <c r="AP58" s="232"/>
      <c r="AQ58" s="229"/>
      <c r="AR58" s="212">
        <v>202.18</v>
      </c>
      <c r="AS58" s="212">
        <f t="shared" si="3"/>
        <v>0</v>
      </c>
      <c r="AT58" s="227">
        <v>15</v>
      </c>
      <c r="AU58" s="228">
        <f t="shared" si="4"/>
        <v>3032.7000000000003</v>
      </c>
      <c r="AV58" s="279">
        <f t="shared" si="5"/>
        <v>15</v>
      </c>
    </row>
    <row r="59" spans="1:48" s="62" customFormat="1" ht="27" customHeight="1">
      <c r="A59" s="59"/>
      <c r="B59" s="60"/>
      <c r="C59" s="60"/>
      <c r="D59" s="22">
        <v>42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356</v>
      </c>
      <c r="W59" s="114">
        <v>43159</v>
      </c>
      <c r="X59" s="193" t="s">
        <v>136</v>
      </c>
      <c r="Y59" s="200">
        <v>43164</v>
      </c>
      <c r="Z59" s="193"/>
      <c r="AA59" s="193"/>
      <c r="AB59" s="22">
        <v>0</v>
      </c>
      <c r="AC59" s="170">
        <v>0</v>
      </c>
      <c r="AD59" s="209">
        <v>170</v>
      </c>
      <c r="AE59" s="194">
        <v>34370.6</v>
      </c>
      <c r="AF59" s="209"/>
      <c r="AG59" s="194"/>
      <c r="AH59" s="209"/>
      <c r="AI59" s="194"/>
      <c r="AJ59" s="233">
        <f t="shared" si="6"/>
        <v>170</v>
      </c>
      <c r="AK59" s="170">
        <f t="shared" si="6"/>
        <v>34370.6</v>
      </c>
      <c r="AL59" s="272">
        <v>0</v>
      </c>
      <c r="AM59" s="212">
        <v>0</v>
      </c>
      <c r="AN59" s="269">
        <v>170</v>
      </c>
      <c r="AO59" s="217">
        <f t="shared" si="2"/>
        <v>34370.6</v>
      </c>
      <c r="AP59" s="232"/>
      <c r="AQ59" s="229"/>
      <c r="AR59" s="212">
        <v>202.18</v>
      </c>
      <c r="AS59" s="212">
        <f t="shared" si="3"/>
        <v>0</v>
      </c>
      <c r="AT59" s="227">
        <v>170</v>
      </c>
      <c r="AU59" s="228">
        <f t="shared" si="4"/>
        <v>34370.6</v>
      </c>
      <c r="AV59" s="279">
        <f t="shared" si="5"/>
        <v>170</v>
      </c>
    </row>
    <row r="60" spans="1:48" s="62" customFormat="1" ht="27" customHeight="1">
      <c r="A60" s="59"/>
      <c r="B60" s="60"/>
      <c r="C60" s="60"/>
      <c r="D60" s="22">
        <v>43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260</v>
      </c>
      <c r="W60" s="114">
        <v>43145</v>
      </c>
      <c r="X60" s="193" t="s">
        <v>94</v>
      </c>
      <c r="Y60" s="200">
        <v>43164</v>
      </c>
      <c r="Z60" s="193"/>
      <c r="AA60" s="193"/>
      <c r="AB60" s="22">
        <v>0</v>
      </c>
      <c r="AC60" s="170">
        <v>0</v>
      </c>
      <c r="AD60" s="209">
        <v>665</v>
      </c>
      <c r="AE60" s="194">
        <v>134449.70000000001</v>
      </c>
      <c r="AF60" s="209"/>
      <c r="AG60" s="194"/>
      <c r="AH60" s="209"/>
      <c r="AI60" s="194"/>
      <c r="AJ60" s="233">
        <f t="shared" si="6"/>
        <v>665</v>
      </c>
      <c r="AK60" s="170">
        <f t="shared" si="6"/>
        <v>134449.70000000001</v>
      </c>
      <c r="AL60" s="272">
        <v>0</v>
      </c>
      <c r="AM60" s="212">
        <v>0</v>
      </c>
      <c r="AN60" s="269">
        <v>665</v>
      </c>
      <c r="AO60" s="217">
        <f t="shared" si="2"/>
        <v>134449.70000000001</v>
      </c>
      <c r="AP60" s="232"/>
      <c r="AQ60" s="229"/>
      <c r="AR60" s="212">
        <v>202.18</v>
      </c>
      <c r="AS60" s="212">
        <f t="shared" si="3"/>
        <v>0</v>
      </c>
      <c r="AT60" s="227">
        <v>665</v>
      </c>
      <c r="AU60" s="228">
        <f t="shared" si="4"/>
        <v>134449.70000000001</v>
      </c>
      <c r="AV60" s="279">
        <f t="shared" si="5"/>
        <v>665</v>
      </c>
    </row>
    <row r="61" spans="1:48" s="62" customFormat="1" ht="26.25" customHeight="1">
      <c r="A61" s="59"/>
      <c r="B61" s="60"/>
      <c r="C61" s="60"/>
      <c r="D61" s="22">
        <v>44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68</v>
      </c>
      <c r="W61" s="114">
        <v>43116</v>
      </c>
      <c r="X61" s="193" t="s">
        <v>125</v>
      </c>
      <c r="Y61" s="200">
        <v>43130</v>
      </c>
      <c r="Z61" s="193"/>
      <c r="AA61" s="193"/>
      <c r="AB61" s="22">
        <v>0</v>
      </c>
      <c r="AC61" s="170">
        <v>0</v>
      </c>
      <c r="AD61" s="209">
        <v>335</v>
      </c>
      <c r="AE61" s="194">
        <v>67730.3</v>
      </c>
      <c r="AF61" s="209"/>
      <c r="AG61" s="194"/>
      <c r="AH61" s="209"/>
      <c r="AI61" s="194"/>
      <c r="AJ61" s="233">
        <f t="shared" si="6"/>
        <v>335</v>
      </c>
      <c r="AK61" s="170">
        <f t="shared" si="6"/>
        <v>67730.3</v>
      </c>
      <c r="AL61" s="272">
        <v>0</v>
      </c>
      <c r="AM61" s="212">
        <v>0</v>
      </c>
      <c r="AN61" s="269">
        <v>335</v>
      </c>
      <c r="AO61" s="217">
        <f t="shared" si="2"/>
        <v>67730.3</v>
      </c>
      <c r="AP61" s="232"/>
      <c r="AQ61" s="229"/>
      <c r="AR61" s="212">
        <v>202.18</v>
      </c>
      <c r="AS61" s="212">
        <f t="shared" si="3"/>
        <v>0</v>
      </c>
      <c r="AT61" s="227">
        <v>335</v>
      </c>
      <c r="AU61" s="228">
        <f t="shared" si="4"/>
        <v>67730.3</v>
      </c>
      <c r="AV61" s="279">
        <f t="shared" si="5"/>
        <v>335</v>
      </c>
    </row>
    <row r="62" spans="1:48" s="62" customFormat="1" ht="26.25" customHeight="1">
      <c r="A62" s="59"/>
      <c r="B62" s="60"/>
      <c r="C62" s="60"/>
      <c r="D62" s="22">
        <v>45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135</v>
      </c>
      <c r="W62" s="114">
        <v>42761</v>
      </c>
      <c r="X62" s="193" t="s">
        <v>126</v>
      </c>
      <c r="Y62" s="200">
        <v>43130</v>
      </c>
      <c r="Z62" s="193"/>
      <c r="AA62" s="193"/>
      <c r="AB62" s="22">
        <v>0</v>
      </c>
      <c r="AC62" s="170">
        <v>0</v>
      </c>
      <c r="AD62" s="209">
        <v>155</v>
      </c>
      <c r="AE62" s="194">
        <v>31337.9</v>
      </c>
      <c r="AF62" s="209"/>
      <c r="AG62" s="194"/>
      <c r="AH62" s="209"/>
      <c r="AI62" s="194"/>
      <c r="AJ62" s="233">
        <f t="shared" si="6"/>
        <v>155</v>
      </c>
      <c r="AK62" s="170">
        <f t="shared" si="6"/>
        <v>31337.9</v>
      </c>
      <c r="AL62" s="272">
        <v>0</v>
      </c>
      <c r="AM62" s="212">
        <v>0</v>
      </c>
      <c r="AN62" s="269">
        <v>155</v>
      </c>
      <c r="AO62" s="217">
        <f t="shared" si="2"/>
        <v>31337.9</v>
      </c>
      <c r="AP62" s="232"/>
      <c r="AQ62" s="229"/>
      <c r="AR62" s="212">
        <v>202.18</v>
      </c>
      <c r="AS62" s="212">
        <f t="shared" si="3"/>
        <v>0</v>
      </c>
      <c r="AT62" s="227">
        <v>155</v>
      </c>
      <c r="AU62" s="228">
        <f t="shared" si="4"/>
        <v>31337.9</v>
      </c>
      <c r="AV62" s="279">
        <f t="shared" si="5"/>
        <v>155</v>
      </c>
    </row>
    <row r="63" spans="1:48" s="62" customFormat="1" ht="26.25" customHeight="1">
      <c r="A63" s="59"/>
      <c r="B63" s="60"/>
      <c r="C63" s="60"/>
      <c r="D63" s="22">
        <v>46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132</v>
      </c>
      <c r="V63" s="115">
        <v>108</v>
      </c>
      <c r="W63" s="114">
        <v>43119</v>
      </c>
      <c r="X63" s="193" t="s">
        <v>131</v>
      </c>
      <c r="Y63" s="200">
        <v>43130</v>
      </c>
      <c r="Z63" s="193"/>
      <c r="AA63" s="193"/>
      <c r="AB63" s="22">
        <v>0</v>
      </c>
      <c r="AC63" s="170">
        <v>0</v>
      </c>
      <c r="AD63" s="209">
        <v>340</v>
      </c>
      <c r="AE63" s="194">
        <v>68741.2</v>
      </c>
      <c r="AF63" s="209"/>
      <c r="AG63" s="194"/>
      <c r="AH63" s="209"/>
      <c r="AI63" s="194"/>
      <c r="AJ63" s="233">
        <f t="shared" si="6"/>
        <v>340</v>
      </c>
      <c r="AK63" s="170">
        <f t="shared" si="6"/>
        <v>68741.2</v>
      </c>
      <c r="AL63" s="272">
        <v>0</v>
      </c>
      <c r="AM63" s="212">
        <v>0</v>
      </c>
      <c r="AN63" s="269">
        <v>340</v>
      </c>
      <c r="AO63" s="217">
        <f t="shared" si="2"/>
        <v>68741.2</v>
      </c>
      <c r="AP63" s="232"/>
      <c r="AQ63" s="229"/>
      <c r="AR63" s="212">
        <v>202.18</v>
      </c>
      <c r="AS63" s="212">
        <f t="shared" si="3"/>
        <v>0</v>
      </c>
      <c r="AT63" s="227">
        <v>340</v>
      </c>
      <c r="AU63" s="228">
        <f t="shared" si="4"/>
        <v>68741.2</v>
      </c>
      <c r="AV63" s="279">
        <f t="shared" si="5"/>
        <v>340</v>
      </c>
    </row>
    <row r="64" spans="1:48" s="62" customFormat="1" ht="26.25" customHeight="1">
      <c r="A64" s="59"/>
      <c r="B64" s="60"/>
      <c r="C64" s="60"/>
      <c r="D64" s="22">
        <v>47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659</v>
      </c>
      <c r="W64" s="114">
        <v>43201</v>
      </c>
      <c r="X64" s="193" t="s">
        <v>159</v>
      </c>
      <c r="Y64" s="200">
        <v>43213</v>
      </c>
      <c r="Z64" s="193" t="s">
        <v>160</v>
      </c>
      <c r="AA64" s="200">
        <v>43255</v>
      </c>
      <c r="AB64" s="22">
        <v>0</v>
      </c>
      <c r="AC64" s="170">
        <v>0</v>
      </c>
      <c r="AD64" s="209">
        <v>245</v>
      </c>
      <c r="AE64" s="194">
        <v>49534.1</v>
      </c>
      <c r="AF64" s="209"/>
      <c r="AG64" s="194"/>
      <c r="AH64" s="209"/>
      <c r="AI64" s="194"/>
      <c r="AJ64" s="233">
        <f t="shared" si="6"/>
        <v>245</v>
      </c>
      <c r="AK64" s="170">
        <f t="shared" si="6"/>
        <v>49534.1</v>
      </c>
      <c r="AL64" s="272">
        <v>0</v>
      </c>
      <c r="AM64" s="212">
        <v>0</v>
      </c>
      <c r="AN64" s="269">
        <v>245</v>
      </c>
      <c r="AO64" s="217">
        <f t="shared" si="2"/>
        <v>49534.1</v>
      </c>
      <c r="AP64" s="232"/>
      <c r="AQ64" s="229"/>
      <c r="AR64" s="212">
        <v>202.18</v>
      </c>
      <c r="AS64" s="212">
        <f t="shared" si="3"/>
        <v>0</v>
      </c>
      <c r="AT64" s="227">
        <v>245</v>
      </c>
      <c r="AU64" s="228">
        <f t="shared" si="4"/>
        <v>49534.1</v>
      </c>
      <c r="AV64" s="279">
        <f t="shared" si="5"/>
        <v>245</v>
      </c>
    </row>
    <row r="65" spans="1:48" s="62" customFormat="1" ht="26.25" customHeight="1">
      <c r="A65" s="59"/>
      <c r="B65" s="60"/>
      <c r="C65" s="60"/>
      <c r="D65" s="22">
        <v>48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834</v>
      </c>
      <c r="W65" s="114">
        <v>43222</v>
      </c>
      <c r="X65" s="193" t="s">
        <v>162</v>
      </c>
      <c r="Y65" s="200">
        <v>43242</v>
      </c>
      <c r="Z65" s="193"/>
      <c r="AA65" s="193"/>
      <c r="AB65" s="22">
        <v>0</v>
      </c>
      <c r="AC65" s="170">
        <v>0</v>
      </c>
      <c r="AD65" s="209">
        <v>555</v>
      </c>
      <c r="AE65" s="194">
        <v>112209.9</v>
      </c>
      <c r="AF65" s="209"/>
      <c r="AG65" s="194"/>
      <c r="AH65" s="209"/>
      <c r="AI65" s="194"/>
      <c r="AJ65" s="233">
        <f t="shared" si="6"/>
        <v>555</v>
      </c>
      <c r="AK65" s="170">
        <f t="shared" si="6"/>
        <v>112209.9</v>
      </c>
      <c r="AL65" s="272">
        <v>0</v>
      </c>
      <c r="AM65" s="212">
        <v>0</v>
      </c>
      <c r="AN65" s="269">
        <v>555</v>
      </c>
      <c r="AO65" s="217">
        <f t="shared" si="2"/>
        <v>112209.9</v>
      </c>
      <c r="AP65" s="232"/>
      <c r="AQ65" s="229"/>
      <c r="AR65" s="212">
        <v>202.18</v>
      </c>
      <c r="AS65" s="212">
        <f t="shared" si="3"/>
        <v>0</v>
      </c>
      <c r="AT65" s="227">
        <v>555</v>
      </c>
      <c r="AU65" s="228">
        <f t="shared" si="4"/>
        <v>112209.90000000001</v>
      </c>
      <c r="AV65" s="279">
        <f t="shared" si="5"/>
        <v>555</v>
      </c>
    </row>
    <row r="66" spans="1:48" s="62" customFormat="1" ht="26.25" customHeight="1">
      <c r="A66" s="59"/>
      <c r="B66" s="60"/>
      <c r="C66" s="60"/>
      <c r="D66" s="22">
        <v>49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45</v>
      </c>
      <c r="AE66" s="194">
        <v>8820</v>
      </c>
      <c r="AF66" s="209"/>
      <c r="AG66" s="194"/>
      <c r="AH66" s="209"/>
      <c r="AI66" s="194"/>
      <c r="AJ66" s="233">
        <f t="shared" si="6"/>
        <v>45</v>
      </c>
      <c r="AK66" s="170">
        <f t="shared" si="6"/>
        <v>8820</v>
      </c>
      <c r="AL66" s="272">
        <v>0</v>
      </c>
      <c r="AM66" s="212">
        <v>0</v>
      </c>
      <c r="AN66" s="269">
        <v>45</v>
      </c>
      <c r="AO66" s="217">
        <f t="shared" si="2"/>
        <v>8820</v>
      </c>
      <c r="AP66" s="232"/>
      <c r="AQ66" s="229"/>
      <c r="AR66" s="212">
        <v>196</v>
      </c>
      <c r="AS66" s="212">
        <f t="shared" si="3"/>
        <v>0</v>
      </c>
      <c r="AT66" s="227">
        <v>45</v>
      </c>
      <c r="AU66" s="228">
        <f t="shared" si="4"/>
        <v>8820</v>
      </c>
      <c r="AV66" s="279">
        <f t="shared" si="5"/>
        <v>45</v>
      </c>
    </row>
    <row r="67" spans="1:48" s="62" customFormat="1" ht="26.25" customHeight="1">
      <c r="A67" s="59"/>
      <c r="B67" s="60"/>
      <c r="C67" s="60"/>
      <c r="D67" s="22">
        <v>50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55</v>
      </c>
      <c r="AE67" s="194">
        <v>11119.9</v>
      </c>
      <c r="AF67" s="209"/>
      <c r="AG67" s="194"/>
      <c r="AH67" s="209"/>
      <c r="AI67" s="194"/>
      <c r="AJ67" s="233">
        <f t="shared" si="6"/>
        <v>55</v>
      </c>
      <c r="AK67" s="170">
        <f t="shared" si="6"/>
        <v>11119.9</v>
      </c>
      <c r="AL67" s="272">
        <v>0</v>
      </c>
      <c r="AM67" s="212">
        <v>0</v>
      </c>
      <c r="AN67" s="269">
        <v>55</v>
      </c>
      <c r="AO67" s="217">
        <f t="shared" si="2"/>
        <v>11119.9</v>
      </c>
      <c r="AP67" s="232"/>
      <c r="AQ67" s="229"/>
      <c r="AR67" s="212">
        <v>202.18</v>
      </c>
      <c r="AS67" s="212">
        <f t="shared" si="3"/>
        <v>0</v>
      </c>
      <c r="AT67" s="227">
        <v>55</v>
      </c>
      <c r="AU67" s="228">
        <f t="shared" si="4"/>
        <v>11119.9</v>
      </c>
      <c r="AV67" s="279">
        <f t="shared" si="5"/>
        <v>55</v>
      </c>
    </row>
    <row r="68" spans="1:48" s="62" customFormat="1" ht="26.25" customHeight="1">
      <c r="A68" s="59"/>
      <c r="B68" s="60"/>
      <c r="C68" s="60"/>
      <c r="D68" s="22">
        <v>51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877</v>
      </c>
      <c r="W68" s="114">
        <v>43230</v>
      </c>
      <c r="X68" s="193" t="s">
        <v>174</v>
      </c>
      <c r="Y68" s="200">
        <v>43285</v>
      </c>
      <c r="Z68" s="193"/>
      <c r="AA68" s="193"/>
      <c r="AB68" s="22">
        <v>0</v>
      </c>
      <c r="AC68" s="170">
        <v>0</v>
      </c>
      <c r="AD68" s="209">
        <v>210</v>
      </c>
      <c r="AE68" s="194">
        <v>42457.8</v>
      </c>
      <c r="AF68" s="209"/>
      <c r="AG68" s="194"/>
      <c r="AH68" s="209"/>
      <c r="AI68" s="194"/>
      <c r="AJ68" s="233">
        <f t="shared" si="6"/>
        <v>210</v>
      </c>
      <c r="AK68" s="170">
        <f t="shared" si="6"/>
        <v>42457.8</v>
      </c>
      <c r="AL68" s="272">
        <v>0</v>
      </c>
      <c r="AM68" s="212">
        <v>0</v>
      </c>
      <c r="AN68" s="269">
        <v>210</v>
      </c>
      <c r="AO68" s="217">
        <f t="shared" si="2"/>
        <v>42457.8</v>
      </c>
      <c r="AP68" s="232"/>
      <c r="AQ68" s="229"/>
      <c r="AR68" s="212">
        <v>202.18</v>
      </c>
      <c r="AS68" s="212">
        <f t="shared" si="3"/>
        <v>0</v>
      </c>
      <c r="AT68" s="227">
        <v>210</v>
      </c>
      <c r="AU68" s="228">
        <f t="shared" si="4"/>
        <v>42457.8</v>
      </c>
      <c r="AV68" s="279">
        <f t="shared" si="5"/>
        <v>210</v>
      </c>
    </row>
    <row r="69" spans="1:48" s="62" customFormat="1" ht="26.25" customHeight="1">
      <c r="A69" s="59"/>
      <c r="B69" s="60"/>
      <c r="C69" s="60"/>
      <c r="D69" s="22">
        <v>52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161</v>
      </c>
      <c r="V69" s="115">
        <v>1053</v>
      </c>
      <c r="W69" s="114">
        <v>43255</v>
      </c>
      <c r="X69" s="193" t="s">
        <v>177</v>
      </c>
      <c r="Y69" s="200">
        <v>43285</v>
      </c>
      <c r="Z69" s="193" t="s">
        <v>178</v>
      </c>
      <c r="AA69" s="200">
        <v>43269</v>
      </c>
      <c r="AB69" s="22">
        <v>0</v>
      </c>
      <c r="AC69" s="170">
        <v>0</v>
      </c>
      <c r="AD69" s="209">
        <v>105</v>
      </c>
      <c r="AE69" s="194">
        <v>21228.9</v>
      </c>
      <c r="AF69" s="209"/>
      <c r="AG69" s="194"/>
      <c r="AH69" s="209"/>
      <c r="AI69" s="194"/>
      <c r="AJ69" s="233">
        <f t="shared" si="6"/>
        <v>105</v>
      </c>
      <c r="AK69" s="170">
        <f t="shared" si="6"/>
        <v>21228.9</v>
      </c>
      <c r="AL69" s="272">
        <v>0</v>
      </c>
      <c r="AM69" s="212">
        <v>0</v>
      </c>
      <c r="AN69" s="269">
        <v>105</v>
      </c>
      <c r="AO69" s="217">
        <f t="shared" si="2"/>
        <v>21228.9</v>
      </c>
      <c r="AP69" s="232"/>
      <c r="AQ69" s="229"/>
      <c r="AR69" s="212">
        <v>202.18</v>
      </c>
      <c r="AS69" s="212">
        <f t="shared" si="3"/>
        <v>0</v>
      </c>
      <c r="AT69" s="227">
        <v>105</v>
      </c>
      <c r="AU69" s="228">
        <f t="shared" si="4"/>
        <v>21228.9</v>
      </c>
      <c r="AV69" s="279">
        <f t="shared" si="5"/>
        <v>105</v>
      </c>
    </row>
    <row r="70" spans="1:48" s="62" customFormat="1" ht="26.25" customHeight="1">
      <c r="A70" s="59"/>
      <c r="B70" s="60"/>
      <c r="C70" s="60"/>
      <c r="D70" s="22">
        <v>53</v>
      </c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187</v>
      </c>
      <c r="V70" s="115">
        <v>1418</v>
      </c>
      <c r="W70" s="114">
        <v>43312</v>
      </c>
      <c r="X70" s="193" t="s">
        <v>184</v>
      </c>
      <c r="Y70" s="200">
        <v>43332</v>
      </c>
      <c r="Z70" s="193" t="s">
        <v>185</v>
      </c>
      <c r="AA70" s="200">
        <v>43320</v>
      </c>
      <c r="AB70" s="22">
        <v>0</v>
      </c>
      <c r="AC70" s="170">
        <v>0</v>
      </c>
      <c r="AD70" s="209">
        <v>30</v>
      </c>
      <c r="AE70" s="194">
        <v>5880</v>
      </c>
      <c r="AF70" s="209"/>
      <c r="AG70" s="194"/>
      <c r="AH70" s="209"/>
      <c r="AI70" s="194"/>
      <c r="AJ70" s="233">
        <f t="shared" si="6"/>
        <v>30</v>
      </c>
      <c r="AK70" s="170">
        <f t="shared" si="6"/>
        <v>5880</v>
      </c>
      <c r="AL70" s="272">
        <v>0</v>
      </c>
      <c r="AM70" s="212">
        <v>0</v>
      </c>
      <c r="AN70" s="269">
        <v>30</v>
      </c>
      <c r="AO70" s="217">
        <v>0</v>
      </c>
      <c r="AP70" s="232"/>
      <c r="AQ70" s="229"/>
      <c r="AR70" s="212">
        <v>196</v>
      </c>
      <c r="AS70" s="212">
        <f t="shared" si="3"/>
        <v>0</v>
      </c>
      <c r="AT70" s="227">
        <v>30</v>
      </c>
      <c r="AU70" s="228">
        <f t="shared" si="4"/>
        <v>5880</v>
      </c>
      <c r="AV70" s="279">
        <f t="shared" si="5"/>
        <v>30</v>
      </c>
    </row>
    <row r="71" spans="1:48" s="62" customFormat="1" ht="26.25" customHeight="1">
      <c r="A71" s="59"/>
      <c r="B71" s="60"/>
      <c r="C71" s="427"/>
      <c r="D71" s="428"/>
      <c r="E71" s="79"/>
      <c r="F71" s="53" t="s">
        <v>65</v>
      </c>
      <c r="G71" s="222" t="s">
        <v>111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/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3">
        <v>30</v>
      </c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30</v>
      </c>
      <c r="AU71" s="228"/>
      <c r="AV71" s="279">
        <f t="shared" si="5"/>
        <v>30</v>
      </c>
    </row>
    <row r="72" spans="1:48" s="62" customFormat="1" ht="26.25" customHeight="1">
      <c r="A72" s="59"/>
      <c r="B72" s="60"/>
      <c r="C72" s="60"/>
      <c r="D72" s="22">
        <v>54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>
        <v>250</v>
      </c>
      <c r="P72" s="276">
        <v>66042.58</v>
      </c>
      <c r="Q72" s="115"/>
      <c r="R72" s="276"/>
      <c r="S72" s="115"/>
      <c r="T72" s="276"/>
      <c r="U72" s="278" t="s">
        <v>181</v>
      </c>
      <c r="V72" s="115">
        <v>1405</v>
      </c>
      <c r="W72" s="114">
        <v>43052</v>
      </c>
      <c r="X72" s="115" t="s">
        <v>182</v>
      </c>
      <c r="Y72" s="221">
        <v>43201</v>
      </c>
      <c r="Z72" s="115"/>
      <c r="AA72" s="115"/>
      <c r="AB72" s="22">
        <v>0</v>
      </c>
      <c r="AC72" s="170">
        <v>0</v>
      </c>
      <c r="AD72" s="208">
        <v>125</v>
      </c>
      <c r="AE72" s="170">
        <v>26255</v>
      </c>
      <c r="AF72" s="208"/>
      <c r="AG72" s="170"/>
      <c r="AH72" s="208"/>
      <c r="AI72" s="170"/>
      <c r="AJ72" s="233">
        <f t="shared" si="6"/>
        <v>125</v>
      </c>
      <c r="AK72" s="170">
        <f t="shared" si="6"/>
        <v>26255</v>
      </c>
      <c r="AL72" s="270">
        <f>63+62</f>
        <v>125</v>
      </c>
      <c r="AM72" s="170">
        <v>26255</v>
      </c>
      <c r="AN72" s="270">
        <v>0</v>
      </c>
      <c r="AO72" s="170">
        <f t="shared" si="2"/>
        <v>0</v>
      </c>
      <c r="AP72" s="233"/>
      <c r="AQ72" s="233"/>
      <c r="AR72" s="170">
        <v>210.04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6.25" customHeight="1">
      <c r="A73" s="59"/>
      <c r="B73" s="60"/>
      <c r="C73" s="60"/>
      <c r="D73" s="22">
        <v>55</v>
      </c>
      <c r="E73" s="79" t="s">
        <v>24</v>
      </c>
      <c r="F73" s="51" t="s">
        <v>68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/>
      <c r="P73" s="276"/>
      <c r="Q73" s="115"/>
      <c r="R73" s="276"/>
      <c r="S73" s="115"/>
      <c r="T73" s="276"/>
      <c r="U73" s="278" t="s">
        <v>145</v>
      </c>
      <c r="V73" s="115">
        <v>1381</v>
      </c>
      <c r="W73" s="114">
        <v>43047</v>
      </c>
      <c r="X73" s="115" t="s">
        <v>144</v>
      </c>
      <c r="Y73" s="221">
        <v>43201</v>
      </c>
      <c r="Z73" s="115"/>
      <c r="AA73" s="115"/>
      <c r="AB73" s="22">
        <v>0</v>
      </c>
      <c r="AC73" s="170">
        <v>0</v>
      </c>
      <c r="AD73" s="208">
        <v>80</v>
      </c>
      <c r="AE73" s="170">
        <v>16803.2</v>
      </c>
      <c r="AF73" s="208"/>
      <c r="AG73" s="170"/>
      <c r="AH73" s="208"/>
      <c r="AI73" s="170"/>
      <c r="AJ73" s="233">
        <f t="shared" si="6"/>
        <v>80</v>
      </c>
      <c r="AK73" s="170">
        <f t="shared" si="6"/>
        <v>16803.2</v>
      </c>
      <c r="AL73" s="270">
        <v>80</v>
      </c>
      <c r="AM73" s="170">
        <v>16803.2</v>
      </c>
      <c r="AN73" s="270">
        <v>0</v>
      </c>
      <c r="AO73" s="170">
        <f t="shared" si="2"/>
        <v>0</v>
      </c>
      <c r="AP73" s="233"/>
      <c r="AQ73" s="233"/>
      <c r="AR73" s="170">
        <f>AM73/AL73</f>
        <v>210.04000000000002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>
        <v>56</v>
      </c>
      <c r="E74" s="79" t="s">
        <v>24</v>
      </c>
      <c r="F74" s="51" t="s">
        <v>68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148</v>
      </c>
      <c r="V74" s="115">
        <v>546</v>
      </c>
      <c r="W74" s="114">
        <v>43182</v>
      </c>
      <c r="X74" s="115" t="s">
        <v>149</v>
      </c>
      <c r="Y74" s="221">
        <v>43201</v>
      </c>
      <c r="Z74" s="115" t="s">
        <v>147</v>
      </c>
      <c r="AA74" s="221">
        <v>43252</v>
      </c>
      <c r="AB74" s="22">
        <v>0</v>
      </c>
      <c r="AC74" s="170">
        <v>0</v>
      </c>
      <c r="AD74" s="208">
        <v>10</v>
      </c>
      <c r="AE74" s="170">
        <v>2038.7</v>
      </c>
      <c r="AF74" s="208"/>
      <c r="AG74" s="170"/>
      <c r="AH74" s="208"/>
      <c r="AI74" s="170"/>
      <c r="AJ74" s="233">
        <f t="shared" si="6"/>
        <v>10</v>
      </c>
      <c r="AK74" s="170">
        <f t="shared" si="6"/>
        <v>2038.7</v>
      </c>
      <c r="AL74" s="270">
        <v>10</v>
      </c>
      <c r="AM74" s="170">
        <v>2038.7</v>
      </c>
      <c r="AN74" s="270">
        <v>0</v>
      </c>
      <c r="AO74" s="170">
        <f t="shared" si="2"/>
        <v>0</v>
      </c>
      <c r="AP74" s="233"/>
      <c r="AQ74" s="233"/>
      <c r="AR74" s="170">
        <f>AM74/AL74</f>
        <v>203.87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>
        <v>57</v>
      </c>
      <c r="E75" s="79" t="s">
        <v>24</v>
      </c>
      <c r="F75" s="162" t="s">
        <v>68</v>
      </c>
      <c r="G75" s="222" t="s">
        <v>146</v>
      </c>
      <c r="H75" s="193" t="s">
        <v>91</v>
      </c>
      <c r="I75" s="193" t="s">
        <v>91</v>
      </c>
      <c r="J75" s="193"/>
      <c r="K75" s="193"/>
      <c r="L75" s="243"/>
      <c r="M75" s="242">
        <f t="shared" si="0"/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148</v>
      </c>
      <c r="V75" s="115">
        <v>834</v>
      </c>
      <c r="W75" s="114">
        <v>43222</v>
      </c>
      <c r="X75" s="193" t="s">
        <v>162</v>
      </c>
      <c r="Y75" s="200">
        <v>43242</v>
      </c>
      <c r="Z75" s="193"/>
      <c r="AA75" s="193"/>
      <c r="AB75" s="22">
        <v>0</v>
      </c>
      <c r="AC75" s="170">
        <v>0</v>
      </c>
      <c r="AD75" s="209">
        <v>10</v>
      </c>
      <c r="AE75" s="194">
        <v>2100.4</v>
      </c>
      <c r="AF75" s="209"/>
      <c r="AG75" s="194"/>
      <c r="AH75" s="209"/>
      <c r="AI75" s="194"/>
      <c r="AJ75" s="233">
        <f t="shared" si="6"/>
        <v>10</v>
      </c>
      <c r="AK75" s="170">
        <f t="shared" si="6"/>
        <v>2100.4</v>
      </c>
      <c r="AL75" s="272">
        <v>0</v>
      </c>
      <c r="AM75" s="212">
        <v>0</v>
      </c>
      <c r="AN75" s="269">
        <v>10</v>
      </c>
      <c r="AO75" s="217">
        <f t="shared" si="2"/>
        <v>2100.4</v>
      </c>
      <c r="AP75" s="232"/>
      <c r="AQ75" s="229"/>
      <c r="AR75" s="212">
        <v>210.04</v>
      </c>
      <c r="AS75" s="212">
        <f t="shared" si="3"/>
        <v>0</v>
      </c>
      <c r="AT75" s="227">
        <v>10</v>
      </c>
      <c r="AU75" s="228">
        <f t="shared" si="4"/>
        <v>2100.4</v>
      </c>
      <c r="AV75" s="279">
        <f t="shared" si="5"/>
        <v>10</v>
      </c>
    </row>
    <row r="76" spans="1:48" s="62" customFormat="1" ht="26.25" customHeight="1">
      <c r="A76" s="59"/>
      <c r="B76" s="60"/>
      <c r="C76" s="60"/>
      <c r="D76" s="22">
        <v>58</v>
      </c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1006</v>
      </c>
      <c r="W76" s="114">
        <v>43244</v>
      </c>
      <c r="X76" s="193" t="s">
        <v>179</v>
      </c>
      <c r="Y76" s="200">
        <v>43285</v>
      </c>
      <c r="Z76" s="193"/>
      <c r="AA76" s="193"/>
      <c r="AB76" s="22">
        <v>0</v>
      </c>
      <c r="AC76" s="170">
        <v>0</v>
      </c>
      <c r="AD76" s="209">
        <v>5</v>
      </c>
      <c r="AE76" s="194">
        <v>1019.35</v>
      </c>
      <c r="AF76" s="209"/>
      <c r="AG76" s="194"/>
      <c r="AH76" s="209"/>
      <c r="AI76" s="194"/>
      <c r="AJ76" s="233">
        <f t="shared" si="6"/>
        <v>5</v>
      </c>
      <c r="AK76" s="170">
        <f t="shared" si="6"/>
        <v>1019.35</v>
      </c>
      <c r="AL76" s="272">
        <v>0</v>
      </c>
      <c r="AM76" s="212">
        <v>0</v>
      </c>
      <c r="AN76" s="269">
        <v>5</v>
      </c>
      <c r="AO76" s="217">
        <f t="shared" si="2"/>
        <v>1019.35</v>
      </c>
      <c r="AP76" s="232"/>
      <c r="AQ76" s="229"/>
      <c r="AR76" s="212">
        <v>203.87</v>
      </c>
      <c r="AS76" s="212">
        <f t="shared" si="3"/>
        <v>0</v>
      </c>
      <c r="AT76" s="227">
        <v>5</v>
      </c>
      <c r="AU76" s="228">
        <f t="shared" si="4"/>
        <v>1019.35</v>
      </c>
      <c r="AV76" s="279">
        <f t="shared" si="5"/>
        <v>5</v>
      </c>
    </row>
    <row r="77" spans="1:48" s="134" customFormat="1" ht="25.5" customHeight="1">
      <c r="A77" s="131"/>
      <c r="B77" s="132"/>
      <c r="C77" s="60"/>
      <c r="D77" s="22">
        <v>59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>
        <v>360</v>
      </c>
      <c r="K77" s="193">
        <v>1</v>
      </c>
      <c r="L77" s="243">
        <v>303.16000000000003</v>
      </c>
      <c r="M77" s="242">
        <f t="shared" si="0"/>
        <v>360</v>
      </c>
      <c r="N77" s="243">
        <f t="shared" si="1"/>
        <v>109137.60000000001</v>
      </c>
      <c r="O77" s="193">
        <v>180</v>
      </c>
      <c r="P77" s="243">
        <v>49667.4</v>
      </c>
      <c r="Q77" s="193">
        <v>360</v>
      </c>
      <c r="R77" s="243">
        <v>107470.8</v>
      </c>
      <c r="S77" s="193">
        <v>90</v>
      </c>
      <c r="T77" s="243">
        <v>27284.400000000001</v>
      </c>
      <c r="U77" s="203" t="s">
        <v>115</v>
      </c>
      <c r="V77" s="115">
        <v>1583</v>
      </c>
      <c r="W77" s="114">
        <v>43082</v>
      </c>
      <c r="X77" s="193" t="s">
        <v>113</v>
      </c>
      <c r="Y77" s="200">
        <v>43109</v>
      </c>
      <c r="Z77" s="193" t="s">
        <v>110</v>
      </c>
      <c r="AA77" s="200">
        <v>43111</v>
      </c>
      <c r="AB77" s="22">
        <v>0</v>
      </c>
      <c r="AC77" s="170">
        <v>0</v>
      </c>
      <c r="AD77" s="209">
        <v>8</v>
      </c>
      <c r="AE77" s="194">
        <v>2388</v>
      </c>
      <c r="AF77" s="209"/>
      <c r="AG77" s="194"/>
      <c r="AH77" s="209"/>
      <c r="AI77" s="194"/>
      <c r="AJ77" s="233">
        <f t="shared" si="6"/>
        <v>8</v>
      </c>
      <c r="AK77" s="170">
        <f t="shared" si="6"/>
        <v>2388</v>
      </c>
      <c r="AL77" s="272">
        <v>0</v>
      </c>
      <c r="AM77" s="212">
        <v>0</v>
      </c>
      <c r="AN77" s="269">
        <v>8</v>
      </c>
      <c r="AO77" s="217">
        <f t="shared" si="2"/>
        <v>2388</v>
      </c>
      <c r="AP77" s="232"/>
      <c r="AQ77" s="229"/>
      <c r="AR77" s="212">
        <v>298.5</v>
      </c>
      <c r="AS77" s="212">
        <f t="shared" si="3"/>
        <v>0</v>
      </c>
      <c r="AT77" s="261">
        <f>8-8</f>
        <v>0</v>
      </c>
      <c r="AU77" s="262">
        <f t="shared" si="4"/>
        <v>0</v>
      </c>
      <c r="AV77" s="406">
        <f t="shared" si="5"/>
        <v>0</v>
      </c>
    </row>
    <row r="78" spans="1:48" s="62" customFormat="1" ht="25.5" customHeight="1">
      <c r="A78" s="59"/>
      <c r="B78" s="60"/>
      <c r="C78" s="60"/>
      <c r="D78" s="22">
        <v>60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137</v>
      </c>
      <c r="V78" s="115">
        <v>427</v>
      </c>
      <c r="W78" s="114">
        <v>43164</v>
      </c>
      <c r="X78" s="193" t="s">
        <v>138</v>
      </c>
      <c r="Y78" s="200">
        <v>43164</v>
      </c>
      <c r="Z78" s="193"/>
      <c r="AA78" s="193"/>
      <c r="AB78" s="22">
        <v>0</v>
      </c>
      <c r="AC78" s="170">
        <v>0</v>
      </c>
      <c r="AD78" s="209">
        <v>34</v>
      </c>
      <c r="AE78" s="194">
        <v>10149</v>
      </c>
      <c r="AF78" s="209"/>
      <c r="AG78" s="194"/>
      <c r="AH78" s="209"/>
      <c r="AI78" s="194"/>
      <c r="AJ78" s="233">
        <f t="shared" si="6"/>
        <v>34</v>
      </c>
      <c r="AK78" s="170">
        <f t="shared" si="6"/>
        <v>10149</v>
      </c>
      <c r="AL78" s="272">
        <v>0</v>
      </c>
      <c r="AM78" s="212">
        <v>0</v>
      </c>
      <c r="AN78" s="269">
        <v>34</v>
      </c>
      <c r="AO78" s="217">
        <f t="shared" si="2"/>
        <v>10149</v>
      </c>
      <c r="AP78" s="232"/>
      <c r="AQ78" s="229"/>
      <c r="AR78" s="212">
        <v>298.5</v>
      </c>
      <c r="AS78" s="212">
        <f t="shared" si="3"/>
        <v>0</v>
      </c>
      <c r="AT78" s="261">
        <f>34-34</f>
        <v>0</v>
      </c>
      <c r="AU78" s="262">
        <f t="shared" si="4"/>
        <v>0</v>
      </c>
      <c r="AV78" s="406">
        <f t="shared" si="5"/>
        <v>0</v>
      </c>
    </row>
    <row r="79" spans="1:48" s="62" customFormat="1" ht="25.5" customHeight="1">
      <c r="A79" s="59"/>
      <c r="B79" s="60"/>
      <c r="C79" s="60"/>
      <c r="D79" s="22">
        <v>61</v>
      </c>
      <c r="E79" s="79" t="s">
        <v>24</v>
      </c>
      <c r="F79" s="140" t="s">
        <v>55</v>
      </c>
      <c r="G79" s="222" t="s">
        <v>114</v>
      </c>
      <c r="H79" s="193" t="s">
        <v>91</v>
      </c>
      <c r="I79" s="193" t="s">
        <v>91</v>
      </c>
      <c r="J79" s="193"/>
      <c r="K79" s="193"/>
      <c r="L79" s="243"/>
      <c r="M79" s="242">
        <f t="shared" si="0"/>
        <v>0</v>
      </c>
      <c r="N79" s="243">
        <f t="shared" si="1"/>
        <v>0</v>
      </c>
      <c r="O79" s="193"/>
      <c r="P79" s="243"/>
      <c r="Q79" s="193"/>
      <c r="R79" s="243"/>
      <c r="S79" s="193"/>
      <c r="T79" s="243"/>
      <c r="U79" s="203" t="s">
        <v>153</v>
      </c>
      <c r="V79" s="115">
        <v>613</v>
      </c>
      <c r="W79" s="114">
        <v>43193</v>
      </c>
      <c r="X79" s="193">
        <v>97</v>
      </c>
      <c r="Y79" s="200">
        <v>43202</v>
      </c>
      <c r="Z79" s="193" t="s">
        <v>154</v>
      </c>
      <c r="AA79" s="200">
        <v>43214</v>
      </c>
      <c r="AB79" s="22">
        <v>0</v>
      </c>
      <c r="AC79" s="170">
        <v>0</v>
      </c>
      <c r="AD79" s="209">
        <v>270</v>
      </c>
      <c r="AE79" s="194">
        <v>80595</v>
      </c>
      <c r="AF79" s="209"/>
      <c r="AG79" s="194"/>
      <c r="AH79" s="209"/>
      <c r="AI79" s="194"/>
      <c r="AJ79" s="233">
        <f t="shared" si="6"/>
        <v>270</v>
      </c>
      <c r="AK79" s="170">
        <f t="shared" si="6"/>
        <v>80595</v>
      </c>
      <c r="AL79" s="272">
        <v>0</v>
      </c>
      <c r="AM79" s="212">
        <v>0</v>
      </c>
      <c r="AN79" s="269">
        <v>270</v>
      </c>
      <c r="AO79" s="217">
        <f t="shared" si="2"/>
        <v>80595</v>
      </c>
      <c r="AP79" s="232"/>
      <c r="AQ79" s="229"/>
      <c r="AR79" s="212">
        <v>298.5</v>
      </c>
      <c r="AS79" s="212">
        <f t="shared" si="3"/>
        <v>0</v>
      </c>
      <c r="AT79" s="261">
        <f>270-16</f>
        <v>254</v>
      </c>
      <c r="AU79" s="262">
        <f t="shared" si="4"/>
        <v>75819</v>
      </c>
      <c r="AV79" s="406">
        <f t="shared" si="5"/>
        <v>254</v>
      </c>
    </row>
    <row r="80" spans="1:48" s="62" customFormat="1" ht="25.5" customHeight="1">
      <c r="A80" s="59"/>
      <c r="B80" s="60"/>
      <c r="C80" s="60"/>
      <c r="D80" s="22">
        <v>62</v>
      </c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115</v>
      </c>
      <c r="V80" s="115">
        <v>612</v>
      </c>
      <c r="W80" s="114">
        <v>43193</v>
      </c>
      <c r="X80" s="193">
        <v>97</v>
      </c>
      <c r="Y80" s="200">
        <v>43202</v>
      </c>
      <c r="Z80" s="193" t="s">
        <v>155</v>
      </c>
      <c r="AA80" s="200">
        <v>43214</v>
      </c>
      <c r="AB80" s="22">
        <v>0</v>
      </c>
      <c r="AC80" s="170">
        <v>0</v>
      </c>
      <c r="AD80" s="209">
        <v>40</v>
      </c>
      <c r="AE80" s="194">
        <v>11940</v>
      </c>
      <c r="AF80" s="209"/>
      <c r="AG80" s="194"/>
      <c r="AH80" s="209"/>
      <c r="AI80" s="194"/>
      <c r="AJ80" s="233">
        <f t="shared" si="6"/>
        <v>40</v>
      </c>
      <c r="AK80" s="170">
        <f t="shared" si="6"/>
        <v>11940</v>
      </c>
      <c r="AL80" s="272">
        <v>0</v>
      </c>
      <c r="AM80" s="212">
        <v>0</v>
      </c>
      <c r="AN80" s="269">
        <v>40</v>
      </c>
      <c r="AO80" s="217">
        <f t="shared" si="2"/>
        <v>11940</v>
      </c>
      <c r="AP80" s="232"/>
      <c r="AQ80" s="229"/>
      <c r="AR80" s="212">
        <v>298.5</v>
      </c>
      <c r="AS80" s="212">
        <f t="shared" si="3"/>
        <v>0</v>
      </c>
      <c r="AT80" s="227">
        <v>40</v>
      </c>
      <c r="AU80" s="228">
        <f t="shared" si="4"/>
        <v>11940</v>
      </c>
      <c r="AV80" s="279">
        <f t="shared" si="5"/>
        <v>40</v>
      </c>
    </row>
    <row r="81" spans="1:48" s="62" customFormat="1" ht="25.5" customHeight="1">
      <c r="A81" s="59"/>
      <c r="B81" s="60"/>
      <c r="C81" s="60"/>
      <c r="D81" s="22">
        <v>63</v>
      </c>
      <c r="E81" s="79" t="s">
        <v>24</v>
      </c>
      <c r="F81" s="173" t="s">
        <v>64</v>
      </c>
      <c r="G81" s="222" t="s">
        <v>140</v>
      </c>
      <c r="H81" s="193" t="s">
        <v>91</v>
      </c>
      <c r="I81" s="193" t="s">
        <v>91</v>
      </c>
      <c r="J81" s="193">
        <v>1080</v>
      </c>
      <c r="K81" s="193">
        <v>2</v>
      </c>
      <c r="L81" s="243">
        <v>304.58999999999997</v>
      </c>
      <c r="M81" s="242">
        <f t="shared" si="0"/>
        <v>2160</v>
      </c>
      <c r="N81" s="243">
        <f t="shared" si="1"/>
        <v>657914.39999999991</v>
      </c>
      <c r="O81" s="193">
        <v>180</v>
      </c>
      <c r="P81" s="243">
        <v>49908.6</v>
      </c>
      <c r="Q81" s="193">
        <v>1080</v>
      </c>
      <c r="R81" s="243">
        <v>323838</v>
      </c>
      <c r="S81" s="193">
        <v>602</v>
      </c>
      <c r="T81" s="243">
        <v>183363.18</v>
      </c>
      <c r="U81" s="203" t="s">
        <v>139</v>
      </c>
      <c r="V81" s="115">
        <v>427</v>
      </c>
      <c r="W81" s="114">
        <v>43164</v>
      </c>
      <c r="X81" s="193" t="s">
        <v>138</v>
      </c>
      <c r="Y81" s="200">
        <v>43164</v>
      </c>
      <c r="Z81" s="193"/>
      <c r="AA81" s="193"/>
      <c r="AB81" s="22">
        <v>0</v>
      </c>
      <c r="AC81" s="170">
        <v>0</v>
      </c>
      <c r="AD81" s="209">
        <v>56</v>
      </c>
      <c r="AE81" s="194">
        <v>16794.400000000001</v>
      </c>
      <c r="AF81" s="209"/>
      <c r="AG81" s="194"/>
      <c r="AH81" s="209"/>
      <c r="AI81" s="194"/>
      <c r="AJ81" s="233">
        <f t="shared" si="6"/>
        <v>56</v>
      </c>
      <c r="AK81" s="170">
        <f t="shared" si="6"/>
        <v>16794.400000000001</v>
      </c>
      <c r="AL81" s="272">
        <v>0</v>
      </c>
      <c r="AM81" s="212">
        <v>0</v>
      </c>
      <c r="AN81" s="269">
        <v>56</v>
      </c>
      <c r="AO81" s="217">
        <f t="shared" si="2"/>
        <v>16794.400000000001</v>
      </c>
      <c r="AP81" s="232"/>
      <c r="AQ81" s="229"/>
      <c r="AR81" s="212">
        <v>299.89999999999998</v>
      </c>
      <c r="AS81" s="212">
        <f t="shared" si="3"/>
        <v>0</v>
      </c>
      <c r="AT81" s="227">
        <f>18-18</f>
        <v>0</v>
      </c>
      <c r="AU81" s="228">
        <f t="shared" si="4"/>
        <v>0</v>
      </c>
      <c r="AV81" s="279">
        <f t="shared" si="5"/>
        <v>0</v>
      </c>
    </row>
    <row r="82" spans="1:48" s="62" customFormat="1" ht="25.5" customHeight="1">
      <c r="A82" s="59"/>
      <c r="B82" s="60"/>
      <c r="C82" s="60"/>
      <c r="D82" s="22">
        <v>64</v>
      </c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3">
        <f t="shared" si="6"/>
        <v>510</v>
      </c>
      <c r="AK82" s="170">
        <f t="shared" si="6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27">
        <f>510-42</f>
        <v>468</v>
      </c>
      <c r="AU82" s="228">
        <f t="shared" si="4"/>
        <v>140353.19999999998</v>
      </c>
      <c r="AV82" s="279">
        <f t="shared" si="5"/>
        <v>468</v>
      </c>
    </row>
    <row r="83" spans="1:48" s="62" customFormat="1" ht="31.5">
      <c r="A83" s="59"/>
      <c r="B83" s="60"/>
      <c r="C83" s="60"/>
      <c r="D83" s="22">
        <v>65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>
        <v>480</v>
      </c>
      <c r="K83" s="193">
        <v>3</v>
      </c>
      <c r="L83" s="243">
        <v>19.399999999999999</v>
      </c>
      <c r="M83" s="242">
        <f>J83*K83</f>
        <v>1440</v>
      </c>
      <c r="N83" s="243">
        <f t="shared" si="1"/>
        <v>27935.999999999996</v>
      </c>
      <c r="O83" s="193">
        <v>6637</v>
      </c>
      <c r="P83" s="243">
        <v>108249.47</v>
      </c>
      <c r="Q83" s="193">
        <v>4000</v>
      </c>
      <c r="R83" s="243">
        <v>89720</v>
      </c>
      <c r="S83" s="193"/>
      <c r="T83" s="243"/>
      <c r="U83" s="203" t="s">
        <v>120</v>
      </c>
      <c r="V83" s="115">
        <v>1745</v>
      </c>
      <c r="W83" s="114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22">
        <v>0</v>
      </c>
      <c r="AC83" s="170">
        <v>0</v>
      </c>
      <c r="AD83" s="209">
        <v>6637</v>
      </c>
      <c r="AE83" s="194">
        <v>102541.65</v>
      </c>
      <c r="AF83" s="209"/>
      <c r="AG83" s="194"/>
      <c r="AH83" s="209"/>
      <c r="AI83" s="194"/>
      <c r="AJ83" s="233">
        <f t="shared" si="6"/>
        <v>6637</v>
      </c>
      <c r="AK83" s="170">
        <f t="shared" si="6"/>
        <v>102541.65</v>
      </c>
      <c r="AL83" s="272">
        <f>180+290</f>
        <v>470</v>
      </c>
      <c r="AM83" s="212">
        <f>AL83*AR83</f>
        <v>7261.5</v>
      </c>
      <c r="AN83" s="269">
        <v>6167</v>
      </c>
      <c r="AO83" s="217">
        <f t="shared" si="2"/>
        <v>95280.15</v>
      </c>
      <c r="AP83" s="232"/>
      <c r="AQ83" s="229"/>
      <c r="AR83" s="212">
        <v>15.45</v>
      </c>
      <c r="AS83" s="212">
        <f t="shared" si="3"/>
        <v>0</v>
      </c>
      <c r="AT83" s="261">
        <f>5867-550-40</f>
        <v>5277</v>
      </c>
      <c r="AU83" s="262">
        <f t="shared" si="4"/>
        <v>81529.649999999994</v>
      </c>
      <c r="AV83" s="406">
        <f t="shared" si="5"/>
        <v>5277</v>
      </c>
    </row>
    <row r="84" spans="1:48" s="62" customFormat="1" ht="31.5">
      <c r="A84" s="59"/>
      <c r="B84" s="60"/>
      <c r="C84" s="60"/>
      <c r="D84" s="22">
        <v>66</v>
      </c>
      <c r="E84" s="79" t="s">
        <v>24</v>
      </c>
      <c r="F84" s="150" t="s">
        <v>57</v>
      </c>
      <c r="G84" s="222" t="s">
        <v>121</v>
      </c>
      <c r="H84" s="193" t="s">
        <v>91</v>
      </c>
      <c r="I84" s="193" t="s">
        <v>91</v>
      </c>
      <c r="J84" s="193"/>
      <c r="K84" s="193"/>
      <c r="L84" s="243"/>
      <c r="M84" s="242">
        <f t="shared" ref="M84:M85" si="8">J84*K84</f>
        <v>0</v>
      </c>
      <c r="N84" s="243">
        <f t="shared" ref="N84:N87" si="9">L84*M84</f>
        <v>0</v>
      </c>
      <c r="O84" s="193"/>
      <c r="P84" s="243"/>
      <c r="Q84" s="193"/>
      <c r="R84" s="243"/>
      <c r="S84" s="193"/>
      <c r="T84" s="243"/>
      <c r="U84" s="203" t="s">
        <v>173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144</v>
      </c>
      <c r="AE84" s="194">
        <v>2142.7199999999998</v>
      </c>
      <c r="AF84" s="209"/>
      <c r="AG84" s="194"/>
      <c r="AH84" s="209"/>
      <c r="AI84" s="194"/>
      <c r="AJ84" s="233">
        <f t="shared" si="6"/>
        <v>144</v>
      </c>
      <c r="AK84" s="170">
        <f t="shared" si="6"/>
        <v>2142.7199999999998</v>
      </c>
      <c r="AL84" s="272">
        <v>0</v>
      </c>
      <c r="AM84" s="212">
        <v>0</v>
      </c>
      <c r="AN84" s="269">
        <v>144</v>
      </c>
      <c r="AO84" s="217">
        <f t="shared" ref="AO84" si="10">AC84+AK84-AM84</f>
        <v>2142.7199999999998</v>
      </c>
      <c r="AP84" s="232"/>
      <c r="AQ84" s="229"/>
      <c r="AR84" s="212">
        <v>14.88</v>
      </c>
      <c r="AS84" s="212">
        <f t="shared" si="3"/>
        <v>0</v>
      </c>
      <c r="AT84" s="227">
        <v>144</v>
      </c>
      <c r="AU84" s="228">
        <f t="shared" si="4"/>
        <v>2142.7200000000003</v>
      </c>
      <c r="AV84" s="279">
        <f t="shared" ref="AV84:AV94" si="11">AT84</f>
        <v>144</v>
      </c>
    </row>
    <row r="85" spans="1:48" s="62" customFormat="1" ht="31.5">
      <c r="A85" s="59"/>
      <c r="B85" s="60"/>
      <c r="C85" s="60"/>
      <c r="D85" s="22">
        <v>67</v>
      </c>
      <c r="E85" s="79" t="s">
        <v>24</v>
      </c>
      <c r="F85" s="150" t="s">
        <v>57</v>
      </c>
      <c r="G85" s="222" t="s">
        <v>121</v>
      </c>
      <c r="H85" s="193" t="s">
        <v>91</v>
      </c>
      <c r="I85" s="193" t="s">
        <v>91</v>
      </c>
      <c r="J85" s="193"/>
      <c r="K85" s="193"/>
      <c r="L85" s="243"/>
      <c r="M85" s="242">
        <f t="shared" si="8"/>
        <v>0</v>
      </c>
      <c r="N85" s="243">
        <f t="shared" si="9"/>
        <v>0</v>
      </c>
      <c r="O85" s="193"/>
      <c r="P85" s="243"/>
      <c r="Q85" s="193"/>
      <c r="R85" s="243"/>
      <c r="S85" s="193"/>
      <c r="T85" s="243"/>
      <c r="U85" s="203" t="s">
        <v>183</v>
      </c>
      <c r="V85" s="115">
        <v>1418</v>
      </c>
      <c r="W85" s="114">
        <v>43312</v>
      </c>
      <c r="X85" s="193" t="s">
        <v>184</v>
      </c>
      <c r="Y85" s="200">
        <v>43332</v>
      </c>
      <c r="Z85" s="193" t="s">
        <v>185</v>
      </c>
      <c r="AA85" s="200">
        <v>43320</v>
      </c>
      <c r="AB85" s="22">
        <v>0</v>
      </c>
      <c r="AC85" s="170">
        <v>0</v>
      </c>
      <c r="AD85" s="209">
        <v>76</v>
      </c>
      <c r="AE85" s="194">
        <v>1130.8800000000001</v>
      </c>
      <c r="AF85" s="209"/>
      <c r="AG85" s="194"/>
      <c r="AH85" s="209"/>
      <c r="AI85" s="194"/>
      <c r="AJ85" s="233">
        <f t="shared" si="6"/>
        <v>76</v>
      </c>
      <c r="AK85" s="170">
        <f t="shared" si="6"/>
        <v>1130.8800000000001</v>
      </c>
      <c r="AL85" s="272">
        <v>0</v>
      </c>
      <c r="AM85" s="212">
        <v>0</v>
      </c>
      <c r="AN85" s="269">
        <v>76</v>
      </c>
      <c r="AO85" s="217">
        <v>0</v>
      </c>
      <c r="AP85" s="232"/>
      <c r="AQ85" s="229"/>
      <c r="AR85" s="212">
        <v>14.88</v>
      </c>
      <c r="AS85" s="212">
        <f t="shared" si="3"/>
        <v>0</v>
      </c>
      <c r="AT85" s="227">
        <v>76</v>
      </c>
      <c r="AU85" s="228">
        <f t="shared" si="4"/>
        <v>1130.8800000000001</v>
      </c>
      <c r="AV85" s="279">
        <f t="shared" si="11"/>
        <v>76</v>
      </c>
    </row>
    <row r="86" spans="1:48" s="62" customFormat="1" ht="31.5">
      <c r="A86" s="59"/>
      <c r="B86" s="60"/>
      <c r="C86" s="427"/>
      <c r="D86" s="428"/>
      <c r="E86" s="79"/>
      <c r="F86" s="150" t="s">
        <v>57</v>
      </c>
      <c r="G86" s="222" t="s">
        <v>121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/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3">
        <v>45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27">
        <v>45</v>
      </c>
      <c r="AU86" s="228"/>
      <c r="AV86" s="279">
        <v>45</v>
      </c>
    </row>
    <row r="87" spans="1:48" s="62" customFormat="1" ht="26.25" customHeight="1">
      <c r="A87" s="59"/>
      <c r="B87" s="60"/>
      <c r="C87" s="60"/>
      <c r="D87" s="22">
        <v>68</v>
      </c>
      <c r="E87" s="79" t="s">
        <v>24</v>
      </c>
      <c r="F87" s="178" t="s">
        <v>58</v>
      </c>
      <c r="G87" s="222" t="s">
        <v>123</v>
      </c>
      <c r="H87" s="193" t="s">
        <v>91</v>
      </c>
      <c r="I87" s="193" t="s">
        <v>91</v>
      </c>
      <c r="J87" s="193">
        <v>5</v>
      </c>
      <c r="K87" s="193">
        <v>5</v>
      </c>
      <c r="L87" s="243">
        <v>2899.28</v>
      </c>
      <c r="M87" s="242">
        <f>J87*K87</f>
        <v>25</v>
      </c>
      <c r="N87" s="243">
        <f t="shared" si="9"/>
        <v>72482</v>
      </c>
      <c r="O87" s="193">
        <v>4</v>
      </c>
      <c r="P87" s="243">
        <v>8377.6</v>
      </c>
      <c r="Q87" s="193"/>
      <c r="R87" s="243"/>
      <c r="S87" s="193"/>
      <c r="T87" s="243"/>
      <c r="U87" s="203" t="s">
        <v>122</v>
      </c>
      <c r="V87" s="115">
        <v>1745</v>
      </c>
      <c r="W87" s="114">
        <v>43096</v>
      </c>
      <c r="X87" s="193" t="s">
        <v>117</v>
      </c>
      <c r="Y87" s="200">
        <v>43109</v>
      </c>
      <c r="Z87" s="193" t="s">
        <v>118</v>
      </c>
      <c r="AA87" s="200">
        <v>43133</v>
      </c>
      <c r="AB87" s="22">
        <v>0</v>
      </c>
      <c r="AC87" s="170">
        <v>0</v>
      </c>
      <c r="AD87" s="209">
        <v>4</v>
      </c>
      <c r="AE87" s="194">
        <v>9062.24</v>
      </c>
      <c r="AF87" s="209"/>
      <c r="AG87" s="194"/>
      <c r="AH87" s="209"/>
      <c r="AI87" s="194"/>
      <c r="AJ87" s="233">
        <f t="shared" si="6"/>
        <v>4</v>
      </c>
      <c r="AK87" s="170">
        <f t="shared" si="6"/>
        <v>9062.24</v>
      </c>
      <c r="AL87" s="272">
        <v>0</v>
      </c>
      <c r="AM87" s="212">
        <v>0</v>
      </c>
      <c r="AN87" s="269">
        <v>4</v>
      </c>
      <c r="AO87" s="217">
        <f t="shared" ref="AO87:AO94" si="12">AC87+AK87-AM87</f>
        <v>9062.24</v>
      </c>
      <c r="AP87" s="232"/>
      <c r="AQ87" s="229"/>
      <c r="AR87" s="212">
        <v>2265.56</v>
      </c>
      <c r="AS87" s="212">
        <f t="shared" si="3"/>
        <v>0</v>
      </c>
      <c r="AT87" s="227">
        <v>4</v>
      </c>
      <c r="AU87" s="228">
        <f t="shared" si="4"/>
        <v>9062.24</v>
      </c>
      <c r="AV87" s="279">
        <f t="shared" si="11"/>
        <v>4</v>
      </c>
    </row>
    <row r="88" spans="1:48" s="62" customFormat="1" ht="26.25" customHeight="1">
      <c r="A88" s="59"/>
      <c r="B88" s="60"/>
      <c r="C88" s="60"/>
      <c r="D88" s="22">
        <v>69</v>
      </c>
      <c r="E88" s="79" t="s">
        <v>24</v>
      </c>
      <c r="F88" s="178" t="s">
        <v>58</v>
      </c>
      <c r="G88" s="222" t="s">
        <v>123</v>
      </c>
      <c r="H88" s="193" t="s">
        <v>91</v>
      </c>
      <c r="I88" s="193" t="s">
        <v>91</v>
      </c>
      <c r="J88" s="193"/>
      <c r="K88" s="193"/>
      <c r="L88" s="243"/>
      <c r="M88" s="242">
        <f t="shared" ref="M88:M94" si="13">J88*K88</f>
        <v>0</v>
      </c>
      <c r="N88" s="243">
        <f>L88*M88</f>
        <v>0</v>
      </c>
      <c r="O88" s="193"/>
      <c r="P88" s="243"/>
      <c r="Q88" s="193"/>
      <c r="R88" s="243"/>
      <c r="S88" s="193"/>
      <c r="T88" s="243"/>
      <c r="U88" s="203" t="s">
        <v>170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2</v>
      </c>
      <c r="AE88" s="194">
        <v>4531.12</v>
      </c>
      <c r="AF88" s="209"/>
      <c r="AG88" s="194"/>
      <c r="AH88" s="209"/>
      <c r="AI88" s="194"/>
      <c r="AJ88" s="233">
        <f t="shared" si="6"/>
        <v>2</v>
      </c>
      <c r="AK88" s="170">
        <f t="shared" si="6"/>
        <v>4531.12</v>
      </c>
      <c r="AL88" s="272">
        <v>0</v>
      </c>
      <c r="AM88" s="212">
        <v>0</v>
      </c>
      <c r="AN88" s="269">
        <v>2</v>
      </c>
      <c r="AO88" s="217">
        <f t="shared" si="12"/>
        <v>4531.12</v>
      </c>
      <c r="AP88" s="232"/>
      <c r="AQ88" s="229"/>
      <c r="AR88" s="212">
        <v>2265.56</v>
      </c>
      <c r="AS88" s="212">
        <f t="shared" ref="AS88:AS94" si="14">AQ88*AR88</f>
        <v>0</v>
      </c>
      <c r="AT88" s="227">
        <v>2</v>
      </c>
      <c r="AU88" s="228">
        <f t="shared" ref="AU88:AU94" si="15">AT88*AR88</f>
        <v>4531.12</v>
      </c>
      <c r="AV88" s="279">
        <f t="shared" si="11"/>
        <v>2</v>
      </c>
    </row>
    <row r="89" spans="1:48" s="62" customFormat="1" ht="26.25" customHeight="1">
      <c r="A89" s="59"/>
      <c r="B89" s="60"/>
      <c r="C89" s="60"/>
      <c r="D89" s="22">
        <v>70</v>
      </c>
      <c r="E89" s="79" t="s">
        <v>24</v>
      </c>
      <c r="F89" s="82" t="s">
        <v>61</v>
      </c>
      <c r="G89" s="222" t="s">
        <v>127</v>
      </c>
      <c r="H89" s="193" t="s">
        <v>91</v>
      </c>
      <c r="I89" s="193" t="s">
        <v>91</v>
      </c>
      <c r="J89" s="193">
        <v>48</v>
      </c>
      <c r="K89" s="193">
        <v>3</v>
      </c>
      <c r="L89" s="243">
        <v>71.97</v>
      </c>
      <c r="M89" s="242">
        <f t="shared" si="13"/>
        <v>144</v>
      </c>
      <c r="N89" s="243">
        <f t="shared" ref="N89:N94" si="16">L89*M89</f>
        <v>10363.68</v>
      </c>
      <c r="O89" s="193">
        <v>14</v>
      </c>
      <c r="P89" s="243">
        <v>714.98</v>
      </c>
      <c r="Q89" s="193"/>
      <c r="R89" s="243"/>
      <c r="S89" s="193"/>
      <c r="T89" s="243"/>
      <c r="U89" s="203" t="s">
        <v>128</v>
      </c>
      <c r="V89" s="115">
        <v>135</v>
      </c>
      <c r="W89" s="114">
        <v>42761</v>
      </c>
      <c r="X89" s="193" t="s">
        <v>126</v>
      </c>
      <c r="Y89" s="200">
        <v>43130</v>
      </c>
      <c r="Z89" s="193"/>
      <c r="AA89" s="193"/>
      <c r="AB89" s="22">
        <v>0</v>
      </c>
      <c r="AC89" s="170">
        <v>0</v>
      </c>
      <c r="AD89" s="209">
        <v>14</v>
      </c>
      <c r="AE89" s="194">
        <v>774.48</v>
      </c>
      <c r="AF89" s="209"/>
      <c r="AG89" s="194"/>
      <c r="AH89" s="209"/>
      <c r="AI89" s="194"/>
      <c r="AJ89" s="233">
        <f t="shared" ref="AJ89:AK94" si="17">AD89+AF89+AH89</f>
        <v>14</v>
      </c>
      <c r="AK89" s="170">
        <f t="shared" si="17"/>
        <v>774.48</v>
      </c>
      <c r="AL89" s="272">
        <v>0</v>
      </c>
      <c r="AM89" s="212">
        <v>0</v>
      </c>
      <c r="AN89" s="269">
        <v>14</v>
      </c>
      <c r="AO89" s="217">
        <f t="shared" si="12"/>
        <v>774.48</v>
      </c>
      <c r="AP89" s="232"/>
      <c r="AQ89" s="229"/>
      <c r="AR89" s="212">
        <v>55.32</v>
      </c>
      <c r="AS89" s="212">
        <f t="shared" si="14"/>
        <v>0</v>
      </c>
      <c r="AT89" s="227">
        <f>14-2</f>
        <v>12</v>
      </c>
      <c r="AU89" s="228">
        <f t="shared" si="15"/>
        <v>663.84</v>
      </c>
      <c r="AV89" s="279">
        <f t="shared" si="11"/>
        <v>12</v>
      </c>
    </row>
    <row r="90" spans="1:48" s="62" customFormat="1" ht="26.25" customHeight="1">
      <c r="A90" s="59"/>
      <c r="B90" s="60"/>
      <c r="C90" s="60"/>
      <c r="D90" s="22">
        <v>71</v>
      </c>
      <c r="E90" s="79" t="s">
        <v>24</v>
      </c>
      <c r="F90" s="82" t="s">
        <v>61</v>
      </c>
      <c r="G90" s="222" t="s">
        <v>127</v>
      </c>
      <c r="H90" s="193" t="s">
        <v>91</v>
      </c>
      <c r="I90" s="193" t="s">
        <v>91</v>
      </c>
      <c r="J90" s="193"/>
      <c r="K90" s="193"/>
      <c r="L90" s="243"/>
      <c r="M90" s="242">
        <f t="shared" si="13"/>
        <v>0</v>
      </c>
      <c r="N90" s="243">
        <f t="shared" si="16"/>
        <v>0</v>
      </c>
      <c r="O90" s="193"/>
      <c r="P90" s="243"/>
      <c r="Q90" s="193"/>
      <c r="R90" s="243"/>
      <c r="S90" s="193"/>
      <c r="T90" s="243"/>
      <c r="U90" s="203" t="s">
        <v>171</v>
      </c>
      <c r="V90" s="115">
        <v>834</v>
      </c>
      <c r="W90" s="114">
        <v>43222</v>
      </c>
      <c r="X90" s="193" t="s">
        <v>162</v>
      </c>
      <c r="Y90" s="200">
        <v>43242</v>
      </c>
      <c r="Z90" s="193"/>
      <c r="AA90" s="193"/>
      <c r="AB90" s="22">
        <v>0</v>
      </c>
      <c r="AC90" s="170">
        <v>0</v>
      </c>
      <c r="AD90" s="209">
        <v>26</v>
      </c>
      <c r="AE90" s="194">
        <v>1438.32</v>
      </c>
      <c r="AF90" s="209"/>
      <c r="AG90" s="194"/>
      <c r="AH90" s="209"/>
      <c r="AI90" s="194"/>
      <c r="AJ90" s="233">
        <f t="shared" si="17"/>
        <v>26</v>
      </c>
      <c r="AK90" s="170">
        <f t="shared" si="17"/>
        <v>1438.32</v>
      </c>
      <c r="AL90" s="272">
        <v>0</v>
      </c>
      <c r="AM90" s="212">
        <v>0</v>
      </c>
      <c r="AN90" s="269">
        <v>26</v>
      </c>
      <c r="AO90" s="217">
        <f t="shared" si="12"/>
        <v>1438.32</v>
      </c>
      <c r="AP90" s="232"/>
      <c r="AQ90" s="229"/>
      <c r="AR90" s="212">
        <v>55.32</v>
      </c>
      <c r="AS90" s="212">
        <f t="shared" si="14"/>
        <v>0</v>
      </c>
      <c r="AT90" s="227">
        <v>26</v>
      </c>
      <c r="AU90" s="228">
        <f t="shared" si="15"/>
        <v>1438.32</v>
      </c>
      <c r="AV90" s="279">
        <f t="shared" si="11"/>
        <v>26</v>
      </c>
    </row>
    <row r="91" spans="1:48" s="62" customFormat="1" ht="26.25" customHeight="1">
      <c r="A91" s="59"/>
      <c r="B91" s="60"/>
      <c r="C91" s="60"/>
      <c r="D91" s="22">
        <v>72</v>
      </c>
      <c r="E91" s="79" t="s">
        <v>24</v>
      </c>
      <c r="F91" s="179" t="s">
        <v>62</v>
      </c>
      <c r="G91" s="222" t="s">
        <v>129</v>
      </c>
      <c r="H91" s="193" t="s">
        <v>91</v>
      </c>
      <c r="I91" s="193" t="s">
        <v>91</v>
      </c>
      <c r="J91" s="193">
        <v>24</v>
      </c>
      <c r="K91" s="193">
        <v>4</v>
      </c>
      <c r="L91" s="243">
        <v>984.1</v>
      </c>
      <c r="M91" s="242">
        <f t="shared" si="13"/>
        <v>96</v>
      </c>
      <c r="N91" s="243">
        <f t="shared" si="16"/>
        <v>94473.600000000006</v>
      </c>
      <c r="O91" s="193">
        <v>6</v>
      </c>
      <c r="P91" s="243">
        <v>4721.3999999999996</v>
      </c>
      <c r="Q91" s="193"/>
      <c r="R91" s="243"/>
      <c r="S91" s="193"/>
      <c r="T91" s="243"/>
      <c r="U91" s="203" t="s">
        <v>130</v>
      </c>
      <c r="V91" s="115">
        <v>135</v>
      </c>
      <c r="W91" s="114">
        <v>42761</v>
      </c>
      <c r="X91" s="193" t="s">
        <v>126</v>
      </c>
      <c r="Y91" s="200">
        <v>43130</v>
      </c>
      <c r="Z91" s="193"/>
      <c r="AA91" s="193"/>
      <c r="AB91" s="22">
        <v>0</v>
      </c>
      <c r="AC91" s="170">
        <v>0</v>
      </c>
      <c r="AD91" s="209">
        <v>6</v>
      </c>
      <c r="AE91" s="194">
        <v>4549.08</v>
      </c>
      <c r="AF91" s="209"/>
      <c r="AG91" s="194"/>
      <c r="AH91" s="209"/>
      <c r="AI91" s="194"/>
      <c r="AJ91" s="233">
        <f t="shared" si="17"/>
        <v>6</v>
      </c>
      <c r="AK91" s="170">
        <f t="shared" si="17"/>
        <v>4549.08</v>
      </c>
      <c r="AL91" s="272">
        <v>0</v>
      </c>
      <c r="AM91" s="212">
        <v>0</v>
      </c>
      <c r="AN91" s="269">
        <v>6</v>
      </c>
      <c r="AO91" s="217">
        <f t="shared" si="12"/>
        <v>4549.08</v>
      </c>
      <c r="AP91" s="232"/>
      <c r="AQ91" s="229"/>
      <c r="AR91" s="212">
        <v>758.18</v>
      </c>
      <c r="AS91" s="212">
        <f t="shared" si="14"/>
        <v>0</v>
      </c>
      <c r="AT91" s="227">
        <v>6</v>
      </c>
      <c r="AU91" s="228">
        <f t="shared" si="15"/>
        <v>4549.08</v>
      </c>
      <c r="AV91" s="279">
        <f t="shared" si="11"/>
        <v>6</v>
      </c>
    </row>
    <row r="92" spans="1:48" s="62" customFormat="1" ht="26.25" customHeight="1">
      <c r="A92" s="59"/>
      <c r="B92" s="60"/>
      <c r="C92" s="60"/>
      <c r="D92" s="22">
        <v>73</v>
      </c>
      <c r="E92" s="79" t="s">
        <v>24</v>
      </c>
      <c r="F92" s="179" t="s">
        <v>62</v>
      </c>
      <c r="G92" s="222" t="s">
        <v>129</v>
      </c>
      <c r="H92" s="193" t="s">
        <v>91</v>
      </c>
      <c r="I92" s="193" t="s">
        <v>91</v>
      </c>
      <c r="J92" s="193"/>
      <c r="K92" s="193"/>
      <c r="L92" s="243"/>
      <c r="M92" s="242">
        <f t="shared" si="13"/>
        <v>0</v>
      </c>
      <c r="N92" s="243">
        <f t="shared" si="16"/>
        <v>0</v>
      </c>
      <c r="O92" s="193"/>
      <c r="P92" s="243"/>
      <c r="Q92" s="193"/>
      <c r="R92" s="243"/>
      <c r="S92" s="193"/>
      <c r="T92" s="243"/>
      <c r="U92" s="203" t="s">
        <v>172</v>
      </c>
      <c r="V92" s="115">
        <v>834</v>
      </c>
      <c r="W92" s="114">
        <v>43222</v>
      </c>
      <c r="X92" s="193" t="s">
        <v>162</v>
      </c>
      <c r="Y92" s="200">
        <v>43242</v>
      </c>
      <c r="Z92" s="193"/>
      <c r="AA92" s="193"/>
      <c r="AB92" s="22">
        <v>0</v>
      </c>
      <c r="AC92" s="170">
        <v>0</v>
      </c>
      <c r="AD92" s="209">
        <v>10</v>
      </c>
      <c r="AE92" s="194">
        <v>7581.8</v>
      </c>
      <c r="AF92" s="209"/>
      <c r="AG92" s="194"/>
      <c r="AH92" s="209"/>
      <c r="AI92" s="194"/>
      <c r="AJ92" s="233">
        <f t="shared" si="17"/>
        <v>10</v>
      </c>
      <c r="AK92" s="170">
        <f t="shared" si="17"/>
        <v>7581.8</v>
      </c>
      <c r="AL92" s="272">
        <v>0</v>
      </c>
      <c r="AM92" s="212">
        <v>0</v>
      </c>
      <c r="AN92" s="269">
        <v>10</v>
      </c>
      <c r="AO92" s="217">
        <f t="shared" si="12"/>
        <v>7581.8</v>
      </c>
      <c r="AP92" s="232"/>
      <c r="AQ92" s="229"/>
      <c r="AR92" s="212">
        <v>758.18</v>
      </c>
      <c r="AS92" s="212">
        <f t="shared" si="14"/>
        <v>0</v>
      </c>
      <c r="AT92" s="227">
        <v>10</v>
      </c>
      <c r="AU92" s="228">
        <f t="shared" si="15"/>
        <v>7581.7999999999993</v>
      </c>
      <c r="AV92" s="279">
        <f t="shared" si="11"/>
        <v>10</v>
      </c>
    </row>
    <row r="93" spans="1:48" s="62" customFormat="1" ht="26.25" customHeight="1">
      <c r="A93" s="59"/>
      <c r="B93" s="60"/>
      <c r="C93" s="427"/>
      <c r="D93" s="428"/>
      <c r="E93" s="79"/>
      <c r="F93" s="179" t="s">
        <v>62</v>
      </c>
      <c r="G93" s="222" t="s">
        <v>129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/>
      <c r="V93" s="115"/>
      <c r="W93" s="114"/>
      <c r="X93" s="193"/>
      <c r="Y93" s="200"/>
      <c r="Z93" s="193"/>
      <c r="AA93" s="193"/>
      <c r="AB93" s="22"/>
      <c r="AC93" s="170"/>
      <c r="AD93" s="209"/>
      <c r="AE93" s="194"/>
      <c r="AF93" s="209"/>
      <c r="AG93" s="194"/>
      <c r="AH93" s="209"/>
      <c r="AI93" s="194"/>
      <c r="AJ93" s="233">
        <v>4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27">
        <v>4</v>
      </c>
      <c r="AU93" s="228"/>
      <c r="AV93" s="279">
        <v>4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91" t="s">
        <v>66</v>
      </c>
      <c r="G94" s="222" t="s">
        <v>135</v>
      </c>
      <c r="H94" s="193" t="s">
        <v>91</v>
      </c>
      <c r="I94" s="193" t="s">
        <v>91</v>
      </c>
      <c r="J94" s="193">
        <v>4</v>
      </c>
      <c r="K94" s="193">
        <v>4</v>
      </c>
      <c r="L94" s="243">
        <v>2051.94</v>
      </c>
      <c r="M94" s="242">
        <f t="shared" si="13"/>
        <v>16</v>
      </c>
      <c r="N94" s="243">
        <f t="shared" si="16"/>
        <v>32831.040000000001</v>
      </c>
      <c r="O94" s="193">
        <v>4</v>
      </c>
      <c r="P94" s="243">
        <v>4104.6400000000003</v>
      </c>
      <c r="Q94" s="193"/>
      <c r="R94" s="243"/>
      <c r="S94" s="193"/>
      <c r="T94" s="243"/>
      <c r="U94" s="203">
        <v>1633600163</v>
      </c>
      <c r="V94" s="115">
        <v>260</v>
      </c>
      <c r="W94" s="114">
        <v>43145</v>
      </c>
      <c r="X94" s="193" t="s">
        <v>94</v>
      </c>
      <c r="Y94" s="200">
        <v>43164</v>
      </c>
      <c r="Z94" s="193"/>
      <c r="AA94" s="193"/>
      <c r="AB94" s="22">
        <v>0</v>
      </c>
      <c r="AC94" s="170">
        <v>0</v>
      </c>
      <c r="AD94" s="209">
        <v>2</v>
      </c>
      <c r="AE94" s="194">
        <f>2020.4+2020.4</f>
        <v>4040.8</v>
      </c>
      <c r="AF94" s="209"/>
      <c r="AG94" s="194"/>
      <c r="AH94" s="209"/>
      <c r="AI94" s="194"/>
      <c r="AJ94" s="233">
        <f t="shared" si="17"/>
        <v>2</v>
      </c>
      <c r="AK94" s="170">
        <f t="shared" si="17"/>
        <v>4040.8</v>
      </c>
      <c r="AL94" s="272">
        <v>0</v>
      </c>
      <c r="AM94" s="212">
        <v>0</v>
      </c>
      <c r="AN94" s="269">
        <v>2</v>
      </c>
      <c r="AO94" s="217">
        <f t="shared" si="12"/>
        <v>4040.8</v>
      </c>
      <c r="AP94" s="232"/>
      <c r="AQ94" s="229"/>
      <c r="AR94" s="212">
        <v>2020.4</v>
      </c>
      <c r="AS94" s="212">
        <f t="shared" si="14"/>
        <v>0</v>
      </c>
      <c r="AT94" s="227">
        <v>2</v>
      </c>
      <c r="AU94" s="228">
        <f t="shared" si="15"/>
        <v>4040.8</v>
      </c>
      <c r="AV94" s="279">
        <f t="shared" si="11"/>
        <v>2</v>
      </c>
    </row>
    <row r="95" spans="1:48" s="251" customFormat="1" ht="21" customHeight="1">
      <c r="A95" s="20" t="s">
        <v>11</v>
      </c>
      <c r="B95" s="20"/>
      <c r="C95" s="20"/>
      <c r="D95" s="695" t="s">
        <v>34</v>
      </c>
      <c r="E95" s="696"/>
      <c r="F95" s="697"/>
      <c r="G95" s="246"/>
      <c r="H95" s="246"/>
      <c r="I95" s="246"/>
      <c r="J95" s="246"/>
      <c r="K95" s="247">
        <f>SUM(K17:K94)</f>
        <v>34</v>
      </c>
      <c r="L95" s="248"/>
      <c r="M95" s="246"/>
      <c r="N95" s="249">
        <f>SUM(N17:N94)</f>
        <v>3452363.2</v>
      </c>
      <c r="O95" s="248"/>
      <c r="P95" s="249">
        <f t="shared" ref="P95:T95" si="18">SUM(P17:P94)</f>
        <v>1903757.27</v>
      </c>
      <c r="Q95" s="248"/>
      <c r="R95" s="249">
        <f t="shared" si="18"/>
        <v>1395649.94</v>
      </c>
      <c r="S95" s="248"/>
      <c r="T95" s="249">
        <f t="shared" si="18"/>
        <v>1083638.72</v>
      </c>
      <c r="U95" s="291" t="s">
        <v>156</v>
      </c>
      <c r="V95" s="291" t="s">
        <v>156</v>
      </c>
      <c r="W95" s="291" t="s">
        <v>156</v>
      </c>
      <c r="X95" s="250" t="s">
        <v>156</v>
      </c>
      <c r="Y95" s="250" t="s">
        <v>156</v>
      </c>
      <c r="Z95" s="250" t="s">
        <v>156</v>
      </c>
      <c r="AA95" s="250" t="s">
        <v>156</v>
      </c>
      <c r="AB95" s="176">
        <f>SUM(AB17:AB40)</f>
        <v>1342</v>
      </c>
      <c r="AC95" s="171">
        <f>SUM(AC17:AC77)</f>
        <v>493758.06</v>
      </c>
      <c r="AD95" s="210">
        <f>SUM(AD17:AD94)</f>
        <v>13168</v>
      </c>
      <c r="AE95" s="195">
        <f t="shared" ref="AE95:AM95" si="19">SUM(AE17:AE94)</f>
        <v>1524549.46</v>
      </c>
      <c r="AF95" s="210">
        <f t="shared" si="19"/>
        <v>0</v>
      </c>
      <c r="AG95" s="195">
        <f t="shared" si="19"/>
        <v>0</v>
      </c>
      <c r="AH95" s="210">
        <f t="shared" si="19"/>
        <v>0</v>
      </c>
      <c r="AI95" s="195">
        <f t="shared" si="19"/>
        <v>0</v>
      </c>
      <c r="AJ95" s="230">
        <f t="shared" si="19"/>
        <v>13262</v>
      </c>
      <c r="AK95" s="175">
        <f>SUM(AK17:AK94)</f>
        <v>1524549.46</v>
      </c>
      <c r="AL95" s="213">
        <f t="shared" si="19"/>
        <v>2245</v>
      </c>
      <c r="AM95" s="214">
        <f t="shared" si="19"/>
        <v>504590.05000000005</v>
      </c>
      <c r="AN95" s="218">
        <f>SUM(AN17:AN94)</f>
        <v>12265</v>
      </c>
      <c r="AO95" s="219">
        <f>SUM(AO17:AO94)</f>
        <v>1495993.66</v>
      </c>
      <c r="AP95" s="286">
        <f>SUM(AP17:AP94)</f>
        <v>0</v>
      </c>
      <c r="AQ95" s="287">
        <f>SUM(AQ17:AQ94)</f>
        <v>0</v>
      </c>
      <c r="AR95" s="226" t="s">
        <v>156</v>
      </c>
      <c r="AS95" s="226">
        <f>SUM(AS17:AS94)</f>
        <v>0</v>
      </c>
      <c r="AT95" s="227">
        <f>SUM(AT17:AT94)</f>
        <v>10347</v>
      </c>
      <c r="AU95" s="228">
        <f>SUM(AU17:AU94)</f>
        <v>1193923.4200000004</v>
      </c>
      <c r="AV95" s="236">
        <f>SUM(AV17:AV94)</f>
        <v>10347</v>
      </c>
    </row>
    <row r="96" spans="1:48" s="336" customFormat="1" ht="2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29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336" customFormat="1" ht="21" hidden="1" customHeight="1">
      <c r="A97" s="20"/>
      <c r="B97" s="20"/>
      <c r="C97" s="20"/>
      <c r="D97" s="294"/>
      <c r="E97" s="294"/>
      <c r="F97" s="294"/>
      <c r="G97" s="330"/>
      <c r="H97" s="330"/>
      <c r="I97" s="330"/>
      <c r="J97" s="330"/>
      <c r="K97" s="331"/>
      <c r="L97" s="332"/>
      <c r="M97" s="330"/>
      <c r="N97" s="333"/>
      <c r="O97" s="332"/>
      <c r="P97" s="333"/>
      <c r="Q97" s="332"/>
      <c r="R97" s="333"/>
      <c r="S97" s="332"/>
      <c r="T97" s="333"/>
      <c r="U97" s="295"/>
      <c r="V97" s="295"/>
      <c r="W97" s="295"/>
      <c r="X97" s="295"/>
      <c r="Y97" s="295"/>
      <c r="Z97" s="295"/>
      <c r="AA97" s="295"/>
      <c r="AB97" s="296"/>
      <c r="AC97" s="297"/>
      <c r="AD97" s="296"/>
      <c r="AE97" s="297"/>
      <c r="AF97" s="296"/>
      <c r="AG97" s="297"/>
      <c r="AH97" s="296"/>
      <c r="AI97" s="297"/>
      <c r="AJ97" s="298"/>
      <c r="AK97" s="299"/>
      <c r="AL97" s="334"/>
      <c r="AM97" s="297"/>
      <c r="AN97" s="296"/>
      <c r="AO97" s="297"/>
      <c r="AP97" s="298"/>
      <c r="AQ97" s="335"/>
      <c r="AR97" s="333"/>
      <c r="AS97" s="333"/>
      <c r="AT97" s="331"/>
      <c r="AU97" s="333"/>
      <c r="AV97" s="331"/>
    </row>
    <row r="98" spans="1:48" s="292" customFormat="1" ht="20.25" hidden="1">
      <c r="A98" s="301"/>
      <c r="B98" s="301"/>
      <c r="C98" s="301"/>
      <c r="D98" s="302"/>
      <c r="E98" s="301"/>
      <c r="F98" s="303" t="s">
        <v>205</v>
      </c>
      <c r="G98" s="303"/>
      <c r="H98" s="303" t="s">
        <v>208</v>
      </c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 t="s">
        <v>208</v>
      </c>
      <c r="AB98" s="303"/>
      <c r="AC98" s="303"/>
      <c r="AD98" s="303"/>
      <c r="AE98" s="303"/>
      <c r="AF98" s="303"/>
      <c r="AG98" s="303"/>
      <c r="AH98" s="303"/>
      <c r="AI98" s="303"/>
      <c r="AJ98" s="301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301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20.25" hidden="1">
      <c r="A100" s="301"/>
      <c r="B100" s="301"/>
      <c r="C100" s="301"/>
      <c r="D100" s="302"/>
      <c r="E100" s="301"/>
      <c r="F100" s="303"/>
      <c r="G100" s="303"/>
      <c r="H100" s="303"/>
      <c r="I100" s="303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3"/>
      <c r="V100" s="303"/>
      <c r="X100" s="303"/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1"/>
      <c r="AK100" s="303"/>
      <c r="AL100" s="301"/>
      <c r="AM100" s="30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5" hidden="1" customHeight="1">
      <c r="A101" s="309"/>
      <c r="B101" s="309"/>
      <c r="C101" s="309"/>
      <c r="D101" s="302"/>
      <c r="E101" s="309"/>
      <c r="F101" s="310"/>
      <c r="G101" s="310"/>
      <c r="H101" s="308"/>
      <c r="I101" s="308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8"/>
      <c r="V101" s="311"/>
      <c r="AA101" s="311"/>
      <c r="AJ101" s="293"/>
      <c r="AK101" s="312"/>
      <c r="AL101" s="309"/>
      <c r="AM101" s="31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18" hidden="1" customHeight="1">
      <c r="A102" s="314" t="s">
        <v>12</v>
      </c>
      <c r="B102" s="314"/>
      <c r="C102" s="314"/>
      <c r="D102" s="315"/>
      <c r="E102" s="314"/>
      <c r="F102" s="316" t="s">
        <v>206</v>
      </c>
      <c r="G102" s="316"/>
      <c r="H102" s="736" t="s">
        <v>209</v>
      </c>
      <c r="I102" s="736"/>
      <c r="J102" s="736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8"/>
      <c r="V102" s="319"/>
      <c r="X102" s="303"/>
      <c r="Y102" s="316"/>
      <c r="Z102" s="316"/>
      <c r="AA102" s="320" t="s">
        <v>209</v>
      </c>
      <c r="AB102" s="316"/>
      <c r="AC102" s="316"/>
      <c r="AD102" s="316"/>
      <c r="AE102" s="316"/>
      <c r="AF102" s="316"/>
      <c r="AG102" s="316"/>
      <c r="AH102" s="316"/>
      <c r="AI102" s="316"/>
      <c r="AJ102" s="314"/>
      <c r="AK102" s="316"/>
      <c r="AL102" s="314"/>
      <c r="AM102" s="316"/>
      <c r="AN102" s="314"/>
      <c r="AO102" s="321"/>
      <c r="AP102" s="307"/>
      <c r="AQ102" s="302"/>
      <c r="AR102" s="308"/>
      <c r="AS102" s="308"/>
      <c r="AT102" s="302"/>
      <c r="AU102" s="302"/>
      <c r="AV102" s="302"/>
    </row>
    <row r="103" spans="1:48" s="62" customFormat="1" ht="18.75" hidden="1">
      <c r="A103" s="11"/>
      <c r="B103" s="11"/>
      <c r="C103" s="11"/>
      <c r="D103" s="255"/>
      <c r="E103" s="11"/>
      <c r="F103" s="322"/>
      <c r="G103" s="322"/>
      <c r="H103" s="322"/>
      <c r="I103" s="322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4"/>
      <c r="AK103" s="322"/>
      <c r="AL103" s="324"/>
      <c r="AM103" s="322"/>
      <c r="AN103" s="281"/>
      <c r="AO103" s="325"/>
      <c r="AP103" s="326"/>
      <c r="AQ103" s="419"/>
      <c r="AR103" s="255"/>
      <c r="AS103" s="255"/>
      <c r="AT103" s="419"/>
      <c r="AU103" s="419"/>
      <c r="AV103" s="419"/>
    </row>
    <row r="104" spans="1:48" s="103" customFormat="1" ht="57.75" hidden="1" customHeight="1">
      <c r="A104" s="11"/>
      <c r="B104" s="11"/>
      <c r="C104" s="11"/>
      <c r="D104" s="255"/>
      <c r="E104" s="720" t="s">
        <v>207</v>
      </c>
      <c r="F104" s="720"/>
      <c r="G104" s="327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9"/>
      <c r="W104" s="329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281"/>
      <c r="AK104" s="11"/>
      <c r="AL104" s="281"/>
      <c r="AM104" s="11"/>
      <c r="AN104" s="281"/>
      <c r="AP104" s="326"/>
      <c r="AQ104" s="419"/>
      <c r="AR104" s="255"/>
      <c r="AS104" s="255"/>
      <c r="AT104" s="419"/>
      <c r="AU104" s="419"/>
      <c r="AV104" s="419"/>
    </row>
  </sheetData>
  <mergeCells count="40">
    <mergeCell ref="D11:AV11"/>
    <mergeCell ref="E6:AT6"/>
    <mergeCell ref="D7:AV7"/>
    <mergeCell ref="D8:AV8"/>
    <mergeCell ref="D9:AV9"/>
    <mergeCell ref="D10:AV10"/>
    <mergeCell ref="E104:F104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5:F95"/>
    <mergeCell ref="H102:J102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4"/>
  <sheetViews>
    <sheetView view="pageBreakPreview" topLeftCell="C1" zoomScale="70" zoomScaleSheetLayoutView="70" workbookViewId="0">
      <selection activeCell="BA93" sqref="BA93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25"/>
      <c r="AR1" s="255"/>
      <c r="AS1" s="255"/>
      <c r="AT1" s="425"/>
      <c r="AU1" s="425"/>
      <c r="AV1" s="425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25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25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236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25"/>
      <c r="AR12" s="255"/>
      <c r="AS12" s="255"/>
      <c r="AT12" s="426"/>
      <c r="AU12" s="426"/>
      <c r="AV12" s="426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237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24" t="s">
        <v>77</v>
      </c>
      <c r="N16" s="424" t="s">
        <v>78</v>
      </c>
      <c r="O16" s="424" t="s">
        <v>77</v>
      </c>
      <c r="P16" s="424" t="s">
        <v>78</v>
      </c>
      <c r="Q16" s="424" t="s">
        <v>77</v>
      </c>
      <c r="R16" s="424" t="s">
        <v>78</v>
      </c>
      <c r="S16" s="424" t="s">
        <v>77</v>
      </c>
      <c r="T16" s="42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23" t="s">
        <v>77</v>
      </c>
      <c r="AE16" s="423" t="s">
        <v>78</v>
      </c>
      <c r="AF16" s="205" t="s">
        <v>77</v>
      </c>
      <c r="AG16" s="205" t="s">
        <v>78</v>
      </c>
      <c r="AH16" s="423" t="s">
        <v>77</v>
      </c>
      <c r="AI16" s="423" t="s">
        <v>78</v>
      </c>
      <c r="AJ16" s="97" t="s">
        <v>96</v>
      </c>
      <c r="AK16" s="96" t="s">
        <v>19</v>
      </c>
      <c r="AL16" s="421" t="s">
        <v>96</v>
      </c>
      <c r="AM16" s="421" t="s">
        <v>19</v>
      </c>
      <c r="AN16" s="216" t="s">
        <v>96</v>
      </c>
      <c r="AO16" s="216" t="s">
        <v>19</v>
      </c>
      <c r="AP16" s="207" t="s">
        <v>96</v>
      </c>
      <c r="AQ16" s="421" t="s">
        <v>96</v>
      </c>
      <c r="AR16" s="421" t="s">
        <v>107</v>
      </c>
      <c r="AS16" s="421" t="s">
        <v>19</v>
      </c>
      <c r="AT16" s="422" t="s">
        <v>96</v>
      </c>
      <c r="AU16" s="422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>
        <v>1</v>
      </c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2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27">
        <v>1</v>
      </c>
      <c r="AU18" s="228">
        <f t="shared" ref="AU18:AU87" si="4">AT18*AR18</f>
        <v>1026.1600000000001</v>
      </c>
      <c r="AV18" s="406">
        <f t="shared" ref="AV18:AV83" si="5">AT18</f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88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406">
        <f t="shared" si="5"/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406">
        <f t="shared" si="5"/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406">
        <f t="shared" si="5"/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406">
        <f t="shared" si="5"/>
        <v>4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406">
        <f t="shared" si="5"/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customHeight="1">
      <c r="A28" s="59"/>
      <c r="B28" s="101"/>
      <c r="C28" s="101"/>
      <c r="D28" s="22">
        <v>12</v>
      </c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customHeight="1">
      <c r="A29" s="59"/>
      <c r="B29" s="101"/>
      <c r="C29" s="101"/>
      <c r="D29" s="22">
        <v>13</v>
      </c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239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51" t="s">
        <v>55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>
        <f t="shared" si="6"/>
        <v>0</v>
      </c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84">
        <f>52-50-2</f>
        <v>0</v>
      </c>
      <c r="AU33" s="435">
        <f t="shared" si="4"/>
        <v>0</v>
      </c>
      <c r="AV33" s="284">
        <f t="shared" si="5"/>
        <v>0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406">
        <f t="shared" si="5"/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51" t="s">
        <v>43</v>
      </c>
      <c r="G38" s="275" t="s">
        <v>163</v>
      </c>
      <c r="H38" s="115" t="s">
        <v>91</v>
      </c>
      <c r="I38" s="115" t="s">
        <v>91</v>
      </c>
      <c r="J38" s="115">
        <v>96</v>
      </c>
      <c r="K38" s="115">
        <v>2</v>
      </c>
      <c r="L38" s="276">
        <v>543.58000000000004</v>
      </c>
      <c r="M38" s="277">
        <f t="shared" si="0"/>
        <v>192</v>
      </c>
      <c r="N38" s="276">
        <f t="shared" si="1"/>
        <v>104367.36000000002</v>
      </c>
      <c r="O38" s="115">
        <v>250</v>
      </c>
      <c r="P38" s="276">
        <v>123662.5</v>
      </c>
      <c r="Q38" s="115">
        <v>231</v>
      </c>
      <c r="R38" s="276">
        <v>123617.34</v>
      </c>
      <c r="S38" s="115">
        <v>502</v>
      </c>
      <c r="T38" s="276">
        <v>272877.15999999997</v>
      </c>
      <c r="U38" s="278" t="s">
        <v>164</v>
      </c>
      <c r="V38" s="115">
        <v>834</v>
      </c>
      <c r="W38" s="114">
        <v>43222</v>
      </c>
      <c r="X38" s="115" t="s">
        <v>162</v>
      </c>
      <c r="Y38" s="221">
        <v>43242</v>
      </c>
      <c r="Z38" s="115"/>
      <c r="AA38" s="115"/>
      <c r="AB38" s="35">
        <v>0</v>
      </c>
      <c r="AC38" s="170">
        <v>0</v>
      </c>
      <c r="AD38" s="208">
        <v>15</v>
      </c>
      <c r="AE38" s="170">
        <v>8028.3</v>
      </c>
      <c r="AF38" s="208"/>
      <c r="AG38" s="170"/>
      <c r="AH38" s="208"/>
      <c r="AI38" s="170"/>
      <c r="AJ38" s="233">
        <f t="shared" si="6"/>
        <v>15</v>
      </c>
      <c r="AK38" s="170">
        <f t="shared" si="6"/>
        <v>8028.3</v>
      </c>
      <c r="AL38" s="270">
        <v>0</v>
      </c>
      <c r="AM38" s="170">
        <v>0</v>
      </c>
      <c r="AN38" s="270">
        <v>15</v>
      </c>
      <c r="AO38" s="170">
        <f t="shared" si="2"/>
        <v>8028.3</v>
      </c>
      <c r="AP38" s="233"/>
      <c r="AQ38" s="233"/>
      <c r="AR38" s="170">
        <v>535.22</v>
      </c>
      <c r="AS38" s="170">
        <f t="shared" si="3"/>
        <v>0</v>
      </c>
      <c r="AT38" s="233">
        <f>15-15</f>
        <v>0</v>
      </c>
      <c r="AU38" s="386">
        <f t="shared" si="4"/>
        <v>0</v>
      </c>
      <c r="AV38" s="233">
        <f t="shared" si="5"/>
        <v>0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51" t="s">
        <v>48</v>
      </c>
      <c r="G39" s="275" t="s">
        <v>152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204</v>
      </c>
      <c r="V39" s="115">
        <v>1405</v>
      </c>
      <c r="W39" s="114">
        <v>43052</v>
      </c>
      <c r="X39" s="115"/>
      <c r="Y39" s="115"/>
      <c r="Z39" s="115"/>
      <c r="AA39" s="115"/>
      <c r="AB39" s="35">
        <v>120</v>
      </c>
      <c r="AC39" s="170">
        <v>58734</v>
      </c>
      <c r="AD39" s="208"/>
      <c r="AE39" s="170"/>
      <c r="AF39" s="208"/>
      <c r="AG39" s="170"/>
      <c r="AH39" s="208"/>
      <c r="AI39" s="170"/>
      <c r="AJ39" s="233">
        <f t="shared" si="6"/>
        <v>0</v>
      </c>
      <c r="AK39" s="170">
        <f t="shared" si="6"/>
        <v>0</v>
      </c>
      <c r="AL39" s="270">
        <f>15+30+10+25+20+20</f>
        <v>120</v>
      </c>
      <c r="AM39" s="170">
        <f>7341.75+14683.5+4894.5+12236.25+9789</f>
        <v>48945</v>
      </c>
      <c r="AN39" s="270">
        <v>0</v>
      </c>
      <c r="AO39" s="170">
        <f t="shared" si="2"/>
        <v>9789</v>
      </c>
      <c r="AP39" s="233"/>
      <c r="AQ39" s="233"/>
      <c r="AR39" s="170">
        <v>489.45</v>
      </c>
      <c r="AS39" s="170">
        <f t="shared" si="3"/>
        <v>0</v>
      </c>
      <c r="AT39" s="233"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v>30</v>
      </c>
      <c r="AM40" s="170">
        <v>14683.5</v>
      </c>
      <c r="AN40" s="270"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v>0</v>
      </c>
      <c r="AU40" s="170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>
        <v>360</v>
      </c>
      <c r="K41" s="115">
        <v>2</v>
      </c>
      <c r="L41" s="276">
        <v>497.09</v>
      </c>
      <c r="M41" s="277">
        <f t="shared" si="0"/>
        <v>720</v>
      </c>
      <c r="N41" s="276">
        <f t="shared" si="1"/>
        <v>357904.8</v>
      </c>
      <c r="O41" s="115">
        <v>150</v>
      </c>
      <c r="P41" s="276">
        <v>67861.5</v>
      </c>
      <c r="Q41" s="115">
        <v>300</v>
      </c>
      <c r="R41" s="276">
        <v>146787</v>
      </c>
      <c r="S41" s="115">
        <v>490</v>
      </c>
      <c r="T41" s="276">
        <v>243574.1</v>
      </c>
      <c r="U41" s="278" t="s">
        <v>151</v>
      </c>
      <c r="V41" s="115">
        <v>546</v>
      </c>
      <c r="W41" s="114">
        <v>43182</v>
      </c>
      <c r="X41" s="115" t="s">
        <v>149</v>
      </c>
      <c r="Y41" s="221">
        <v>43201</v>
      </c>
      <c r="Z41" s="115" t="s">
        <v>147</v>
      </c>
      <c r="AA41" s="221">
        <v>43252</v>
      </c>
      <c r="AB41" s="35">
        <v>0</v>
      </c>
      <c r="AC41" s="170">
        <v>0</v>
      </c>
      <c r="AD41" s="208">
        <v>65</v>
      </c>
      <c r="AE41" s="170">
        <v>31814.25</v>
      </c>
      <c r="AF41" s="208"/>
      <c r="AG41" s="170"/>
      <c r="AH41" s="208"/>
      <c r="AI41" s="170"/>
      <c r="AJ41" s="233">
        <f t="shared" si="6"/>
        <v>65</v>
      </c>
      <c r="AK41" s="170">
        <f t="shared" si="6"/>
        <v>31814.25</v>
      </c>
      <c r="AL41" s="270">
        <v>0</v>
      </c>
      <c r="AM41" s="170">
        <v>0</v>
      </c>
      <c r="AN41" s="270">
        <v>65</v>
      </c>
      <c r="AO41" s="170">
        <f t="shared" si="2"/>
        <v>31814.25</v>
      </c>
      <c r="AP41" s="233"/>
      <c r="AQ41" s="233"/>
      <c r="AR41" s="170">
        <v>489.45</v>
      </c>
      <c r="AS41" s="170">
        <f t="shared" si="3"/>
        <v>0</v>
      </c>
      <c r="AT41" s="233">
        <f>35-35</f>
        <v>0</v>
      </c>
      <c r="AU41" s="386">
        <f t="shared" si="4"/>
        <v>0</v>
      </c>
      <c r="AV41" s="233">
        <f t="shared" si="5"/>
        <v>0</v>
      </c>
    </row>
    <row r="42" spans="1:48" s="62" customFormat="1" ht="27" customHeight="1">
      <c r="A42" s="59"/>
      <c r="B42" s="60"/>
      <c r="C42" s="60"/>
      <c r="D42" s="22">
        <v>26</v>
      </c>
      <c r="E42" s="79" t="s">
        <v>24</v>
      </c>
      <c r="F42" s="51" t="s">
        <v>44</v>
      </c>
      <c r="G42" s="275" t="s">
        <v>116</v>
      </c>
      <c r="H42" s="115" t="s">
        <v>91</v>
      </c>
      <c r="I42" s="115" t="s">
        <v>91</v>
      </c>
      <c r="J42" s="115">
        <v>1750</v>
      </c>
      <c r="K42" s="115">
        <v>2</v>
      </c>
      <c r="L42" s="276">
        <v>199.06</v>
      </c>
      <c r="M42" s="277">
        <f t="shared" si="0"/>
        <v>3500</v>
      </c>
      <c r="N42" s="276">
        <f t="shared" si="1"/>
        <v>696710</v>
      </c>
      <c r="O42" s="115">
        <v>1000</v>
      </c>
      <c r="P42" s="276">
        <v>255340</v>
      </c>
      <c r="Q42" s="115"/>
      <c r="R42" s="276"/>
      <c r="S42" s="115">
        <v>368</v>
      </c>
      <c r="T42" s="276">
        <v>73254.080000000002</v>
      </c>
      <c r="U42" s="278" t="s">
        <v>119</v>
      </c>
      <c r="V42" s="115">
        <v>1583</v>
      </c>
      <c r="W42" s="114">
        <v>43082</v>
      </c>
      <c r="X42" s="115" t="s">
        <v>113</v>
      </c>
      <c r="Y42" s="221">
        <v>43109</v>
      </c>
      <c r="Z42" s="115" t="s">
        <v>110</v>
      </c>
      <c r="AA42" s="221">
        <v>43111</v>
      </c>
      <c r="AB42" s="22">
        <v>0</v>
      </c>
      <c r="AC42" s="170">
        <v>0</v>
      </c>
      <c r="AD42" s="208">
        <v>50</v>
      </c>
      <c r="AE42" s="170">
        <v>10109</v>
      </c>
      <c r="AF42" s="208"/>
      <c r="AG42" s="170"/>
      <c r="AH42" s="208"/>
      <c r="AI42" s="170"/>
      <c r="AJ42" s="233">
        <f t="shared" si="6"/>
        <v>50</v>
      </c>
      <c r="AK42" s="170">
        <f t="shared" si="6"/>
        <v>10109</v>
      </c>
      <c r="AL42" s="270">
        <v>10</v>
      </c>
      <c r="AM42" s="170">
        <f>AL42*AR42</f>
        <v>2021.8000000000002</v>
      </c>
      <c r="AN42" s="270">
        <v>40</v>
      </c>
      <c r="AO42" s="170">
        <f t="shared" si="2"/>
        <v>8087.2</v>
      </c>
      <c r="AP42" s="233"/>
      <c r="AQ42" s="233"/>
      <c r="AR42" s="170">
        <v>202.18</v>
      </c>
      <c r="AS42" s="170">
        <f t="shared" si="3"/>
        <v>0</v>
      </c>
      <c r="AT42" s="233"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>
        <v>27</v>
      </c>
      <c r="E43" s="79" t="s">
        <v>24</v>
      </c>
      <c r="F43" s="51" t="s">
        <v>54</v>
      </c>
      <c r="G43" s="275" t="s">
        <v>116</v>
      </c>
      <c r="H43" s="115" t="s">
        <v>91</v>
      </c>
      <c r="I43" s="115" t="s">
        <v>91</v>
      </c>
      <c r="J43" s="115"/>
      <c r="K43" s="115"/>
      <c r="L43" s="276"/>
      <c r="M43" s="277">
        <f t="shared" si="0"/>
        <v>0</v>
      </c>
      <c r="N43" s="276">
        <f t="shared" si="1"/>
        <v>0</v>
      </c>
      <c r="O43" s="115"/>
      <c r="P43" s="276"/>
      <c r="Q43" s="115"/>
      <c r="R43" s="276"/>
      <c r="S43" s="115"/>
      <c r="T43" s="276"/>
      <c r="U43" s="278" t="s">
        <v>119</v>
      </c>
      <c r="V43" s="115">
        <v>1745</v>
      </c>
      <c r="W43" s="114">
        <v>43096</v>
      </c>
      <c r="X43" s="115" t="s">
        <v>117</v>
      </c>
      <c r="Y43" s="221">
        <v>43109</v>
      </c>
      <c r="Z43" s="115" t="s">
        <v>118</v>
      </c>
      <c r="AA43" s="221">
        <v>43133</v>
      </c>
      <c r="AB43" s="22">
        <v>0</v>
      </c>
      <c r="AC43" s="170">
        <v>0</v>
      </c>
      <c r="AD43" s="208">
        <v>45</v>
      </c>
      <c r="AE43" s="170">
        <v>9098.1</v>
      </c>
      <c r="AF43" s="208"/>
      <c r="AG43" s="170"/>
      <c r="AH43" s="208"/>
      <c r="AI43" s="170"/>
      <c r="AJ43" s="233">
        <f t="shared" si="6"/>
        <v>45</v>
      </c>
      <c r="AK43" s="170">
        <f t="shared" si="6"/>
        <v>9098.1</v>
      </c>
      <c r="AL43" s="270">
        <v>0</v>
      </c>
      <c r="AM43" s="170">
        <v>0</v>
      </c>
      <c r="AN43" s="270">
        <v>45</v>
      </c>
      <c r="AO43" s="170">
        <f t="shared" si="2"/>
        <v>9098.1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134</v>
      </c>
      <c r="V44" s="115">
        <v>426</v>
      </c>
      <c r="W44" s="114">
        <v>43164</v>
      </c>
      <c r="X44" s="115" t="s">
        <v>141</v>
      </c>
      <c r="Y44" s="221">
        <v>43164</v>
      </c>
      <c r="Z44" s="115" t="s">
        <v>142</v>
      </c>
      <c r="AA44" s="221">
        <v>43230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>
        <f t="shared" si="6"/>
        <v>50</v>
      </c>
      <c r="AK44" s="170">
        <f t="shared" si="6"/>
        <v>10109</v>
      </c>
      <c r="AL44" s="270">
        <v>0</v>
      </c>
      <c r="AM44" s="170">
        <v>0</v>
      </c>
      <c r="AN44" s="270">
        <v>50</v>
      </c>
      <c r="AO44" s="170">
        <f t="shared" si="2"/>
        <v>10109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51" t="s">
        <v>44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134</v>
      </c>
      <c r="V45" s="115">
        <v>260</v>
      </c>
      <c r="W45" s="114">
        <v>43145</v>
      </c>
      <c r="X45" s="115" t="s">
        <v>94</v>
      </c>
      <c r="Y45" s="221">
        <v>43164</v>
      </c>
      <c r="Z45" s="115"/>
      <c r="AA45" s="115"/>
      <c r="AB45" s="22">
        <v>0</v>
      </c>
      <c r="AC45" s="170">
        <v>0</v>
      </c>
      <c r="AD45" s="208">
        <v>110</v>
      </c>
      <c r="AE45" s="170">
        <v>22239.8</v>
      </c>
      <c r="AF45" s="208"/>
      <c r="AG45" s="170"/>
      <c r="AH45" s="208"/>
      <c r="AI45" s="170"/>
      <c r="AJ45" s="233">
        <f t="shared" si="6"/>
        <v>110</v>
      </c>
      <c r="AK45" s="170">
        <f t="shared" si="6"/>
        <v>22239.8</v>
      </c>
      <c r="AL45" s="270">
        <v>0</v>
      </c>
      <c r="AM45" s="170">
        <v>0</v>
      </c>
      <c r="AN45" s="270">
        <v>110</v>
      </c>
      <c r="AO45" s="170">
        <f t="shared" si="2"/>
        <v>22239.8</v>
      </c>
      <c r="AP45" s="233"/>
      <c r="AQ45" s="233"/>
      <c r="AR45" s="170">
        <v>202.18</v>
      </c>
      <c r="AS45" s="170">
        <f t="shared" si="3"/>
        <v>0</v>
      </c>
      <c r="AT45" s="233">
        <f>25-25</f>
        <v>0</v>
      </c>
      <c r="AU45" s="386">
        <f t="shared" si="4"/>
        <v>0</v>
      </c>
      <c r="AV45" s="233">
        <f t="shared" si="5"/>
        <v>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150</v>
      </c>
      <c r="V46" s="115">
        <v>546</v>
      </c>
      <c r="W46" s="114">
        <v>43182</v>
      </c>
      <c r="X46" s="115" t="s">
        <v>149</v>
      </c>
      <c r="Y46" s="221">
        <v>43201</v>
      </c>
      <c r="Z46" s="115" t="s">
        <v>147</v>
      </c>
      <c r="AA46" s="221">
        <v>43252</v>
      </c>
      <c r="AB46" s="22">
        <v>0</v>
      </c>
      <c r="AC46" s="170">
        <v>0</v>
      </c>
      <c r="AD46" s="208">
        <v>105</v>
      </c>
      <c r="AE46" s="170">
        <v>21228.9</v>
      </c>
      <c r="AF46" s="208"/>
      <c r="AG46" s="170"/>
      <c r="AH46" s="208"/>
      <c r="AI46" s="170"/>
      <c r="AJ46" s="233">
        <f t="shared" si="6"/>
        <v>105</v>
      </c>
      <c r="AK46" s="170">
        <f t="shared" si="6"/>
        <v>21228.9</v>
      </c>
      <c r="AL46" s="270">
        <v>0</v>
      </c>
      <c r="AM46" s="170">
        <v>0</v>
      </c>
      <c r="AN46" s="270">
        <v>105</v>
      </c>
      <c r="AO46" s="170">
        <f t="shared" si="2"/>
        <v>21228.9</v>
      </c>
      <c r="AP46" s="233"/>
      <c r="AQ46" s="233"/>
      <c r="AR46" s="170">
        <v>202.18</v>
      </c>
      <c r="AS46" s="170">
        <f t="shared" si="3"/>
        <v>0</v>
      </c>
      <c r="AT46" s="233">
        <f>105-105</f>
        <v>0</v>
      </c>
      <c r="AU46" s="386">
        <f t="shared" si="4"/>
        <v>0</v>
      </c>
      <c r="AV46" s="233">
        <f t="shared" si="5"/>
        <v>0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150</v>
      </c>
      <c r="V47" s="115">
        <v>659</v>
      </c>
      <c r="W47" s="114">
        <v>43201</v>
      </c>
      <c r="X47" s="115" t="s">
        <v>159</v>
      </c>
      <c r="Y47" s="221">
        <v>43213</v>
      </c>
      <c r="Z47" s="115" t="s">
        <v>160</v>
      </c>
      <c r="AA47" s="221">
        <v>43255</v>
      </c>
      <c r="AB47" s="22">
        <v>0</v>
      </c>
      <c r="AC47" s="170">
        <v>0</v>
      </c>
      <c r="AD47" s="208">
        <v>80</v>
      </c>
      <c r="AE47" s="170">
        <v>16174.4</v>
      </c>
      <c r="AF47" s="208"/>
      <c r="AG47" s="170"/>
      <c r="AH47" s="208"/>
      <c r="AI47" s="170"/>
      <c r="AJ47" s="233">
        <f t="shared" si="6"/>
        <v>80</v>
      </c>
      <c r="AK47" s="170">
        <f t="shared" si="6"/>
        <v>16174.4</v>
      </c>
      <c r="AL47" s="270">
        <v>0</v>
      </c>
      <c r="AM47" s="170">
        <v>0</v>
      </c>
      <c r="AN47" s="270">
        <v>80</v>
      </c>
      <c r="AO47" s="170">
        <f t="shared" si="2"/>
        <v>16174.4</v>
      </c>
      <c r="AP47" s="233"/>
      <c r="AQ47" s="233"/>
      <c r="AR47" s="170">
        <v>202.18</v>
      </c>
      <c r="AS47" s="170">
        <f t="shared" si="3"/>
        <v>0</v>
      </c>
      <c r="AT47" s="233">
        <f>80-80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169</v>
      </c>
      <c r="V48" s="115">
        <v>834</v>
      </c>
      <c r="W48" s="114">
        <v>43222</v>
      </c>
      <c r="X48" s="115" t="s">
        <v>162</v>
      </c>
      <c r="Y48" s="221">
        <v>43242</v>
      </c>
      <c r="Z48" s="115"/>
      <c r="AA48" s="115"/>
      <c r="AB48" s="35">
        <v>0</v>
      </c>
      <c r="AC48" s="170">
        <v>0</v>
      </c>
      <c r="AD48" s="208">
        <v>95</v>
      </c>
      <c r="AE48" s="170">
        <v>19207.099999999999</v>
      </c>
      <c r="AF48" s="208"/>
      <c r="AG48" s="170"/>
      <c r="AH48" s="208"/>
      <c r="AI48" s="170"/>
      <c r="AJ48" s="233">
        <f t="shared" si="6"/>
        <v>95</v>
      </c>
      <c r="AK48" s="170">
        <f t="shared" si="6"/>
        <v>19207.099999999999</v>
      </c>
      <c r="AL48" s="270">
        <v>0</v>
      </c>
      <c r="AM48" s="170">
        <v>0</v>
      </c>
      <c r="AN48" s="270">
        <v>95</v>
      </c>
      <c r="AO48" s="170">
        <f t="shared" si="2"/>
        <v>19207.099999999999</v>
      </c>
      <c r="AP48" s="233"/>
      <c r="AQ48" s="233"/>
      <c r="AR48" s="170">
        <v>202.18</v>
      </c>
      <c r="AS48" s="170">
        <f>AQ48*AR48</f>
        <v>0</v>
      </c>
      <c r="AT48" s="233">
        <f>95-45-50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180</v>
      </c>
      <c r="V49" s="115">
        <v>1006</v>
      </c>
      <c r="W49" s="114">
        <v>43244</v>
      </c>
      <c r="X49" s="115" t="s">
        <v>179</v>
      </c>
      <c r="Y49" s="221">
        <v>43285</v>
      </c>
      <c r="Z49" s="115"/>
      <c r="AA49" s="115"/>
      <c r="AB49" s="35">
        <v>0</v>
      </c>
      <c r="AC49" s="170">
        <v>0</v>
      </c>
      <c r="AD49" s="208">
        <v>20</v>
      </c>
      <c r="AE49" s="170">
        <v>3920</v>
      </c>
      <c r="AF49" s="208"/>
      <c r="AG49" s="170"/>
      <c r="AH49" s="208"/>
      <c r="AI49" s="170"/>
      <c r="AJ49" s="233">
        <f t="shared" si="6"/>
        <v>20</v>
      </c>
      <c r="AK49" s="170">
        <f t="shared" si="6"/>
        <v>3920</v>
      </c>
      <c r="AL49" s="270">
        <v>0</v>
      </c>
      <c r="AM49" s="170">
        <v>0</v>
      </c>
      <c r="AN49" s="270">
        <v>20</v>
      </c>
      <c r="AO49" s="170">
        <f t="shared" si="2"/>
        <v>3920</v>
      </c>
      <c r="AP49" s="233"/>
      <c r="AQ49" s="233"/>
      <c r="AR49" s="170">
        <v>196</v>
      </c>
      <c r="AS49" s="170">
        <f t="shared" si="3"/>
        <v>0</v>
      </c>
      <c r="AT49" s="233">
        <f>20-20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6"/>
        <v>45490.5</v>
      </c>
      <c r="AL50" s="272">
        <v>0</v>
      </c>
      <c r="AM50" s="212">
        <v>0</v>
      </c>
      <c r="AN50" s="269">
        <v>225</v>
      </c>
      <c r="AO50" s="217">
        <f t="shared" si="2"/>
        <v>45490.5</v>
      </c>
      <c r="AP50" s="232"/>
      <c r="AQ50" s="229"/>
      <c r="AR50" s="212">
        <v>202.18</v>
      </c>
      <c r="AS50" s="212">
        <f t="shared" si="3"/>
        <v>0</v>
      </c>
      <c r="AT50" s="227">
        <f>225-130</f>
        <v>95</v>
      </c>
      <c r="AU50" s="228">
        <f t="shared" si="4"/>
        <v>19207.100000000002</v>
      </c>
      <c r="AV50" s="279">
        <f t="shared" si="5"/>
        <v>95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6"/>
        <v>10780</v>
      </c>
      <c r="AL51" s="272">
        <v>0</v>
      </c>
      <c r="AM51" s="212">
        <v>0</v>
      </c>
      <c r="AN51" s="269">
        <v>55</v>
      </c>
      <c r="AO51" s="217">
        <v>0</v>
      </c>
      <c r="AP51" s="232"/>
      <c r="AQ51" s="229"/>
      <c r="AR51" s="212">
        <v>196</v>
      </c>
      <c r="AS51" s="212">
        <f t="shared" si="3"/>
        <v>0</v>
      </c>
      <c r="AT51" s="227">
        <v>55</v>
      </c>
      <c r="AU51" s="228">
        <f t="shared" si="4"/>
        <v>10780</v>
      </c>
      <c r="AV51" s="279">
        <f t="shared" si="5"/>
        <v>55</v>
      </c>
    </row>
    <row r="52" spans="1:48" s="62" customFormat="1" ht="26.25" customHeight="1">
      <c r="A52" s="59"/>
      <c r="B52" s="60"/>
      <c r="C52" s="427"/>
      <c r="D52" s="428"/>
      <c r="E52" s="79"/>
      <c r="F52" s="149" t="s">
        <v>44</v>
      </c>
      <c r="G52" s="222" t="s">
        <v>116</v>
      </c>
      <c r="H52" s="193"/>
      <c r="I52" s="193"/>
      <c r="J52" s="193"/>
      <c r="K52" s="193"/>
      <c r="L52" s="243"/>
      <c r="M52" s="242"/>
      <c r="N52" s="243"/>
      <c r="O52" s="193"/>
      <c r="P52" s="243"/>
      <c r="Q52" s="193"/>
      <c r="R52" s="243"/>
      <c r="S52" s="193"/>
      <c r="T52" s="243"/>
      <c r="U52" s="203"/>
      <c r="V52" s="115"/>
      <c r="W52" s="114"/>
      <c r="X52" s="193"/>
      <c r="Y52" s="200"/>
      <c r="Z52" s="193"/>
      <c r="AA52" s="200"/>
      <c r="AB52" s="22"/>
      <c r="AC52" s="170"/>
      <c r="AD52" s="209"/>
      <c r="AE52" s="194"/>
      <c r="AF52" s="209"/>
      <c r="AG52" s="194"/>
      <c r="AH52" s="209"/>
      <c r="AI52" s="194"/>
      <c r="AJ52" s="233">
        <v>15</v>
      </c>
      <c r="AK52" s="170"/>
      <c r="AL52" s="272"/>
      <c r="AM52" s="212"/>
      <c r="AN52" s="269"/>
      <c r="AO52" s="217"/>
      <c r="AP52" s="232"/>
      <c r="AQ52" s="229"/>
      <c r="AR52" s="212"/>
      <c r="AS52" s="212"/>
      <c r="AT52" s="227">
        <v>15</v>
      </c>
      <c r="AU52" s="228"/>
      <c r="AV52" s="279">
        <v>15</v>
      </c>
    </row>
    <row r="53" spans="1:48" s="62" customFormat="1" ht="27" customHeight="1">
      <c r="A53" s="59"/>
      <c r="B53" s="60"/>
      <c r="C53" s="60"/>
      <c r="D53" s="22">
        <v>36</v>
      </c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112</v>
      </c>
      <c r="V53" s="115">
        <v>1625</v>
      </c>
      <c r="W53" s="114">
        <v>43087</v>
      </c>
      <c r="X53" s="115" t="s">
        <v>109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5</v>
      </c>
      <c r="AE53" s="170">
        <v>1010.9</v>
      </c>
      <c r="AF53" s="208"/>
      <c r="AG53" s="170"/>
      <c r="AH53" s="208"/>
      <c r="AI53" s="170"/>
      <c r="AJ53" s="233">
        <f t="shared" si="6"/>
        <v>5</v>
      </c>
      <c r="AK53" s="170">
        <f t="shared" si="6"/>
        <v>1010.9</v>
      </c>
      <c r="AL53" s="270">
        <v>5</v>
      </c>
      <c r="AM53" s="170">
        <v>1010.9</v>
      </c>
      <c r="AN53" s="270">
        <v>0</v>
      </c>
      <c r="AO53" s="170">
        <f t="shared" si="2"/>
        <v>0</v>
      </c>
      <c r="AP53" s="233"/>
      <c r="AQ53" s="233"/>
      <c r="AR53" s="170"/>
      <c r="AS53" s="170">
        <f t="shared" si="3"/>
        <v>0</v>
      </c>
      <c r="AT53" s="208">
        <v>0</v>
      </c>
      <c r="AU53" s="170">
        <f t="shared" si="4"/>
        <v>0</v>
      </c>
      <c r="AV53" s="233">
        <f t="shared" si="5"/>
        <v>0</v>
      </c>
    </row>
    <row r="54" spans="1:48" s="62" customFormat="1" ht="27" customHeight="1">
      <c r="A54" s="59"/>
      <c r="B54" s="60"/>
      <c r="C54" s="60"/>
      <c r="D54" s="22">
        <v>37</v>
      </c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>
        <v>2016</v>
      </c>
      <c r="K54" s="115">
        <v>2</v>
      </c>
      <c r="L54" s="276">
        <v>199.06</v>
      </c>
      <c r="M54" s="277">
        <f t="shared" si="0"/>
        <v>4032</v>
      </c>
      <c r="N54" s="276">
        <f t="shared" si="1"/>
        <v>802609.92</v>
      </c>
      <c r="O54" s="115">
        <v>4130</v>
      </c>
      <c r="P54" s="276">
        <v>1054554.2</v>
      </c>
      <c r="Q54" s="115"/>
      <c r="R54" s="276"/>
      <c r="S54" s="115"/>
      <c r="T54" s="276"/>
      <c r="U54" s="278" t="s">
        <v>112</v>
      </c>
      <c r="V54" s="115">
        <v>1583</v>
      </c>
      <c r="W54" s="114">
        <v>43082</v>
      </c>
      <c r="X54" s="115" t="s">
        <v>113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490</v>
      </c>
      <c r="AE54" s="170">
        <v>99068.2</v>
      </c>
      <c r="AF54" s="208"/>
      <c r="AG54" s="170"/>
      <c r="AH54" s="208"/>
      <c r="AI54" s="170"/>
      <c r="AJ54" s="233">
        <f t="shared" si="6"/>
        <v>490</v>
      </c>
      <c r="AK54" s="170">
        <f t="shared" si="6"/>
        <v>99068.2</v>
      </c>
      <c r="AL54" s="270">
        <f>135+130+130</f>
        <v>395</v>
      </c>
      <c r="AM54" s="170">
        <f>AL54*AR54</f>
        <v>79861.100000000006</v>
      </c>
      <c r="AN54" s="270">
        <v>95</v>
      </c>
      <c r="AO54" s="170">
        <f t="shared" si="2"/>
        <v>19207.099999999991</v>
      </c>
      <c r="AP54" s="233"/>
      <c r="AQ54" s="233"/>
      <c r="AR54" s="170">
        <v>202.18</v>
      </c>
      <c r="AS54" s="170">
        <f t="shared" si="3"/>
        <v>0</v>
      </c>
      <c r="AT54" s="233">
        <v>0</v>
      </c>
      <c r="AU54" s="386">
        <f t="shared" si="4"/>
        <v>0</v>
      </c>
      <c r="AV54" s="233">
        <f t="shared" si="5"/>
        <v>0</v>
      </c>
    </row>
    <row r="55" spans="1:48" s="139" customFormat="1" ht="27" customHeight="1">
      <c r="A55" s="136"/>
      <c r="B55" s="137"/>
      <c r="C55" s="60"/>
      <c r="D55" s="22">
        <v>38</v>
      </c>
      <c r="E55" s="79" t="s">
        <v>24</v>
      </c>
      <c r="F55" s="53" t="s">
        <v>52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112</v>
      </c>
      <c r="V55" s="115">
        <v>1745</v>
      </c>
      <c r="W55" s="114">
        <v>43096</v>
      </c>
      <c r="X55" s="193" t="s">
        <v>117</v>
      </c>
      <c r="Y55" s="200">
        <v>43109</v>
      </c>
      <c r="Z55" s="193" t="s">
        <v>118</v>
      </c>
      <c r="AA55" s="200">
        <v>43133</v>
      </c>
      <c r="AB55" s="22">
        <v>0</v>
      </c>
      <c r="AC55" s="170">
        <v>0</v>
      </c>
      <c r="AD55" s="209">
        <v>195</v>
      </c>
      <c r="AE55" s="194">
        <v>39425.1</v>
      </c>
      <c r="AF55" s="209"/>
      <c r="AG55" s="194"/>
      <c r="AH55" s="209"/>
      <c r="AI55" s="194"/>
      <c r="AJ55" s="233">
        <f t="shared" si="6"/>
        <v>195</v>
      </c>
      <c r="AK55" s="170">
        <f t="shared" si="6"/>
        <v>39425.1</v>
      </c>
      <c r="AL55" s="272">
        <v>0</v>
      </c>
      <c r="AM55" s="212">
        <v>0</v>
      </c>
      <c r="AN55" s="269">
        <v>195</v>
      </c>
      <c r="AO55" s="217">
        <f t="shared" si="2"/>
        <v>39425.1</v>
      </c>
      <c r="AP55" s="232"/>
      <c r="AQ55" s="229"/>
      <c r="AR55" s="212">
        <v>202.18</v>
      </c>
      <c r="AS55" s="212">
        <f t="shared" si="3"/>
        <v>0</v>
      </c>
      <c r="AT55" s="227">
        <f>160-140</f>
        <v>20</v>
      </c>
      <c r="AU55" s="228">
        <f t="shared" si="4"/>
        <v>4043.6000000000004</v>
      </c>
      <c r="AV55" s="406">
        <f t="shared" si="5"/>
        <v>20</v>
      </c>
    </row>
    <row r="56" spans="1:48" s="62" customFormat="1" ht="26.25" customHeight="1">
      <c r="A56" s="59"/>
      <c r="B56" s="60"/>
      <c r="C56" s="60"/>
      <c r="D56" s="22">
        <v>39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426</v>
      </c>
      <c r="W56" s="114">
        <v>43164</v>
      </c>
      <c r="X56" s="193" t="s">
        <v>141</v>
      </c>
      <c r="Y56" s="200">
        <v>43164</v>
      </c>
      <c r="Z56" s="193" t="s">
        <v>142</v>
      </c>
      <c r="AA56" s="200">
        <v>43230</v>
      </c>
      <c r="AB56" s="22">
        <v>0</v>
      </c>
      <c r="AC56" s="170">
        <v>0</v>
      </c>
      <c r="AD56" s="209">
        <v>170</v>
      </c>
      <c r="AE56" s="194">
        <v>34370.6</v>
      </c>
      <c r="AF56" s="209"/>
      <c r="AG56" s="194"/>
      <c r="AH56" s="209"/>
      <c r="AI56" s="194"/>
      <c r="AJ56" s="233">
        <f t="shared" si="6"/>
        <v>170</v>
      </c>
      <c r="AK56" s="170">
        <f t="shared" si="6"/>
        <v>34370.6</v>
      </c>
      <c r="AL56" s="272">
        <v>0</v>
      </c>
      <c r="AM56" s="212">
        <v>0</v>
      </c>
      <c r="AN56" s="269">
        <v>170</v>
      </c>
      <c r="AO56" s="217">
        <f t="shared" si="2"/>
        <v>34370.6</v>
      </c>
      <c r="AP56" s="232"/>
      <c r="AQ56" s="229"/>
      <c r="AR56" s="212">
        <v>202.18</v>
      </c>
      <c r="AS56" s="212">
        <f t="shared" si="3"/>
        <v>0</v>
      </c>
      <c r="AT56" s="227">
        <v>170</v>
      </c>
      <c r="AU56" s="228">
        <f t="shared" si="4"/>
        <v>34370.6</v>
      </c>
      <c r="AV56" s="406">
        <f t="shared" si="5"/>
        <v>170</v>
      </c>
    </row>
    <row r="57" spans="1:48" s="62" customFormat="1" ht="26.25" customHeight="1">
      <c r="A57" s="59"/>
      <c r="B57" s="60"/>
      <c r="C57" s="60"/>
      <c r="D57" s="22">
        <v>40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320</v>
      </c>
      <c r="AE57" s="194">
        <v>64697.599999999999</v>
      </c>
      <c r="AF57" s="209"/>
      <c r="AG57" s="194"/>
      <c r="AH57" s="209"/>
      <c r="AI57" s="194"/>
      <c r="AJ57" s="233">
        <f t="shared" si="6"/>
        <v>320</v>
      </c>
      <c r="AK57" s="170">
        <f t="shared" si="6"/>
        <v>64697.599999999999</v>
      </c>
      <c r="AL57" s="272">
        <v>0</v>
      </c>
      <c r="AM57" s="212">
        <v>0</v>
      </c>
      <c r="AN57" s="269">
        <v>320</v>
      </c>
      <c r="AO57" s="217">
        <f t="shared" si="2"/>
        <v>64697.599999999999</v>
      </c>
      <c r="AP57" s="232"/>
      <c r="AQ57" s="229"/>
      <c r="AR57" s="212">
        <v>202.18</v>
      </c>
      <c r="AS57" s="212">
        <f t="shared" si="3"/>
        <v>0</v>
      </c>
      <c r="AT57" s="227">
        <v>320</v>
      </c>
      <c r="AU57" s="228">
        <f t="shared" si="4"/>
        <v>64697.600000000006</v>
      </c>
      <c r="AV57" s="406">
        <f t="shared" si="5"/>
        <v>320</v>
      </c>
    </row>
    <row r="58" spans="1:48" s="62" customFormat="1" ht="26.25" customHeight="1">
      <c r="A58" s="59"/>
      <c r="B58" s="60"/>
      <c r="C58" s="60"/>
      <c r="D58" s="22">
        <v>41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132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15</v>
      </c>
      <c r="AE58" s="194">
        <v>3032.7</v>
      </c>
      <c r="AF58" s="209"/>
      <c r="AG58" s="194"/>
      <c r="AH58" s="209"/>
      <c r="AI58" s="194"/>
      <c r="AJ58" s="233">
        <f t="shared" si="6"/>
        <v>15</v>
      </c>
      <c r="AK58" s="170">
        <f t="shared" si="6"/>
        <v>3032.7</v>
      </c>
      <c r="AL58" s="272">
        <v>0</v>
      </c>
      <c r="AM58" s="212">
        <v>0</v>
      </c>
      <c r="AN58" s="269">
        <v>15</v>
      </c>
      <c r="AO58" s="217">
        <f t="shared" si="2"/>
        <v>3032.7</v>
      </c>
      <c r="AP58" s="232"/>
      <c r="AQ58" s="229"/>
      <c r="AR58" s="212">
        <v>202.18</v>
      </c>
      <c r="AS58" s="212">
        <f t="shared" si="3"/>
        <v>0</v>
      </c>
      <c r="AT58" s="227">
        <v>15</v>
      </c>
      <c r="AU58" s="228">
        <f t="shared" si="4"/>
        <v>3032.7000000000003</v>
      </c>
      <c r="AV58" s="406">
        <f t="shared" si="5"/>
        <v>15</v>
      </c>
    </row>
    <row r="59" spans="1:48" s="62" customFormat="1" ht="27" customHeight="1">
      <c r="A59" s="59"/>
      <c r="B59" s="60"/>
      <c r="C59" s="60"/>
      <c r="D59" s="22">
        <v>42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356</v>
      </c>
      <c r="W59" s="114">
        <v>43159</v>
      </c>
      <c r="X59" s="193" t="s">
        <v>136</v>
      </c>
      <c r="Y59" s="200">
        <v>43164</v>
      </c>
      <c r="Z59" s="193"/>
      <c r="AA59" s="193"/>
      <c r="AB59" s="22">
        <v>0</v>
      </c>
      <c r="AC59" s="170">
        <v>0</v>
      </c>
      <c r="AD59" s="209">
        <v>170</v>
      </c>
      <c r="AE59" s="194">
        <v>34370.6</v>
      </c>
      <c r="AF59" s="209"/>
      <c r="AG59" s="194"/>
      <c r="AH59" s="209"/>
      <c r="AI59" s="194"/>
      <c r="AJ59" s="233">
        <f t="shared" si="6"/>
        <v>170</v>
      </c>
      <c r="AK59" s="170">
        <f t="shared" si="6"/>
        <v>34370.6</v>
      </c>
      <c r="AL59" s="272">
        <v>0</v>
      </c>
      <c r="AM59" s="212">
        <v>0</v>
      </c>
      <c r="AN59" s="269">
        <v>170</v>
      </c>
      <c r="AO59" s="217">
        <f t="shared" si="2"/>
        <v>34370.6</v>
      </c>
      <c r="AP59" s="232"/>
      <c r="AQ59" s="229"/>
      <c r="AR59" s="212">
        <v>202.18</v>
      </c>
      <c r="AS59" s="212">
        <f t="shared" si="3"/>
        <v>0</v>
      </c>
      <c r="AT59" s="227">
        <v>170</v>
      </c>
      <c r="AU59" s="228">
        <f t="shared" si="4"/>
        <v>34370.6</v>
      </c>
      <c r="AV59" s="406">
        <f t="shared" si="5"/>
        <v>170</v>
      </c>
    </row>
    <row r="60" spans="1:48" s="62" customFormat="1" ht="27" customHeight="1">
      <c r="A60" s="59"/>
      <c r="B60" s="60"/>
      <c r="C60" s="60"/>
      <c r="D60" s="22">
        <v>43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260</v>
      </c>
      <c r="W60" s="114">
        <v>43145</v>
      </c>
      <c r="X60" s="193" t="s">
        <v>94</v>
      </c>
      <c r="Y60" s="200">
        <v>43164</v>
      </c>
      <c r="Z60" s="193"/>
      <c r="AA60" s="193"/>
      <c r="AB60" s="22">
        <v>0</v>
      </c>
      <c r="AC60" s="170">
        <v>0</v>
      </c>
      <c r="AD60" s="209">
        <v>665</v>
      </c>
      <c r="AE60" s="194">
        <v>134449.70000000001</v>
      </c>
      <c r="AF60" s="209"/>
      <c r="AG60" s="194"/>
      <c r="AH60" s="209"/>
      <c r="AI60" s="194"/>
      <c r="AJ60" s="233">
        <f t="shared" si="6"/>
        <v>665</v>
      </c>
      <c r="AK60" s="170">
        <f t="shared" si="6"/>
        <v>134449.70000000001</v>
      </c>
      <c r="AL60" s="272">
        <v>0</v>
      </c>
      <c r="AM60" s="212">
        <v>0</v>
      </c>
      <c r="AN60" s="269">
        <v>665</v>
      </c>
      <c r="AO60" s="217">
        <f t="shared" si="2"/>
        <v>134449.70000000001</v>
      </c>
      <c r="AP60" s="232"/>
      <c r="AQ60" s="229"/>
      <c r="AR60" s="212">
        <v>202.18</v>
      </c>
      <c r="AS60" s="212">
        <f t="shared" si="3"/>
        <v>0</v>
      </c>
      <c r="AT60" s="227">
        <v>665</v>
      </c>
      <c r="AU60" s="228">
        <f t="shared" si="4"/>
        <v>134449.70000000001</v>
      </c>
      <c r="AV60" s="406">
        <f t="shared" si="5"/>
        <v>665</v>
      </c>
    </row>
    <row r="61" spans="1:48" s="62" customFormat="1" ht="26.25" customHeight="1">
      <c r="A61" s="59"/>
      <c r="B61" s="60"/>
      <c r="C61" s="60"/>
      <c r="D61" s="22">
        <v>44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68</v>
      </c>
      <c r="W61" s="114">
        <v>43116</v>
      </c>
      <c r="X61" s="193" t="s">
        <v>125</v>
      </c>
      <c r="Y61" s="200">
        <v>43130</v>
      </c>
      <c r="Z61" s="193"/>
      <c r="AA61" s="193"/>
      <c r="AB61" s="22">
        <v>0</v>
      </c>
      <c r="AC61" s="170">
        <v>0</v>
      </c>
      <c r="AD61" s="209">
        <v>335</v>
      </c>
      <c r="AE61" s="194">
        <v>67730.3</v>
      </c>
      <c r="AF61" s="209"/>
      <c r="AG61" s="194"/>
      <c r="AH61" s="209"/>
      <c r="AI61" s="194"/>
      <c r="AJ61" s="233">
        <f t="shared" si="6"/>
        <v>335</v>
      </c>
      <c r="AK61" s="170">
        <f t="shared" si="6"/>
        <v>67730.3</v>
      </c>
      <c r="AL61" s="272">
        <v>0</v>
      </c>
      <c r="AM61" s="212">
        <v>0</v>
      </c>
      <c r="AN61" s="269">
        <v>335</v>
      </c>
      <c r="AO61" s="217">
        <f t="shared" si="2"/>
        <v>67730.3</v>
      </c>
      <c r="AP61" s="232"/>
      <c r="AQ61" s="229"/>
      <c r="AR61" s="212">
        <v>202.18</v>
      </c>
      <c r="AS61" s="212">
        <f t="shared" si="3"/>
        <v>0</v>
      </c>
      <c r="AT61" s="227">
        <v>335</v>
      </c>
      <c r="AU61" s="228">
        <f t="shared" si="4"/>
        <v>67730.3</v>
      </c>
      <c r="AV61" s="406">
        <f t="shared" si="5"/>
        <v>335</v>
      </c>
    </row>
    <row r="62" spans="1:48" s="62" customFormat="1" ht="26.25" customHeight="1">
      <c r="A62" s="59"/>
      <c r="B62" s="60"/>
      <c r="C62" s="60"/>
      <c r="D62" s="22">
        <v>45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135</v>
      </c>
      <c r="W62" s="114">
        <v>42761</v>
      </c>
      <c r="X62" s="193" t="s">
        <v>126</v>
      </c>
      <c r="Y62" s="200">
        <v>43130</v>
      </c>
      <c r="Z62" s="193"/>
      <c r="AA62" s="193"/>
      <c r="AB62" s="22">
        <v>0</v>
      </c>
      <c r="AC62" s="170">
        <v>0</v>
      </c>
      <c r="AD62" s="209">
        <v>155</v>
      </c>
      <c r="AE62" s="194">
        <v>31337.9</v>
      </c>
      <c r="AF62" s="209"/>
      <c r="AG62" s="194"/>
      <c r="AH62" s="209"/>
      <c r="AI62" s="194"/>
      <c r="AJ62" s="233">
        <f t="shared" si="6"/>
        <v>155</v>
      </c>
      <c r="AK62" s="170">
        <f t="shared" si="6"/>
        <v>31337.9</v>
      </c>
      <c r="AL62" s="272">
        <v>0</v>
      </c>
      <c r="AM62" s="212">
        <v>0</v>
      </c>
      <c r="AN62" s="269">
        <v>155</v>
      </c>
      <c r="AO62" s="217">
        <f t="shared" si="2"/>
        <v>31337.9</v>
      </c>
      <c r="AP62" s="232"/>
      <c r="AQ62" s="229"/>
      <c r="AR62" s="212">
        <v>202.18</v>
      </c>
      <c r="AS62" s="212">
        <f t="shared" si="3"/>
        <v>0</v>
      </c>
      <c r="AT62" s="227">
        <v>155</v>
      </c>
      <c r="AU62" s="228">
        <f t="shared" si="4"/>
        <v>31337.9</v>
      </c>
      <c r="AV62" s="406">
        <f t="shared" si="5"/>
        <v>155</v>
      </c>
    </row>
    <row r="63" spans="1:48" s="62" customFormat="1" ht="26.25" customHeight="1">
      <c r="A63" s="59"/>
      <c r="B63" s="60"/>
      <c r="C63" s="60"/>
      <c r="D63" s="22">
        <v>46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132</v>
      </c>
      <c r="V63" s="115">
        <v>108</v>
      </c>
      <c r="W63" s="114">
        <v>43119</v>
      </c>
      <c r="X63" s="193" t="s">
        <v>131</v>
      </c>
      <c r="Y63" s="200">
        <v>43130</v>
      </c>
      <c r="Z63" s="193"/>
      <c r="AA63" s="193"/>
      <c r="AB63" s="22">
        <v>0</v>
      </c>
      <c r="AC63" s="170">
        <v>0</v>
      </c>
      <c r="AD63" s="209">
        <v>340</v>
      </c>
      <c r="AE63" s="194">
        <v>68741.2</v>
      </c>
      <c r="AF63" s="209"/>
      <c r="AG63" s="194"/>
      <c r="AH63" s="209"/>
      <c r="AI63" s="194"/>
      <c r="AJ63" s="233">
        <f t="shared" si="6"/>
        <v>340</v>
      </c>
      <c r="AK63" s="170">
        <f t="shared" si="6"/>
        <v>68741.2</v>
      </c>
      <c r="AL63" s="272">
        <v>0</v>
      </c>
      <c r="AM63" s="212">
        <v>0</v>
      </c>
      <c r="AN63" s="269">
        <v>340</v>
      </c>
      <c r="AO63" s="217">
        <f t="shared" si="2"/>
        <v>68741.2</v>
      </c>
      <c r="AP63" s="232"/>
      <c r="AQ63" s="229"/>
      <c r="AR63" s="212">
        <v>202.18</v>
      </c>
      <c r="AS63" s="212">
        <f t="shared" si="3"/>
        <v>0</v>
      </c>
      <c r="AT63" s="227">
        <v>340</v>
      </c>
      <c r="AU63" s="228">
        <f t="shared" si="4"/>
        <v>68741.2</v>
      </c>
      <c r="AV63" s="406">
        <f t="shared" si="5"/>
        <v>340</v>
      </c>
    </row>
    <row r="64" spans="1:48" s="62" customFormat="1" ht="26.25" customHeight="1">
      <c r="A64" s="59"/>
      <c r="B64" s="60"/>
      <c r="C64" s="60"/>
      <c r="D64" s="22">
        <v>47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659</v>
      </c>
      <c r="W64" s="114">
        <v>43201</v>
      </c>
      <c r="X64" s="193" t="s">
        <v>159</v>
      </c>
      <c r="Y64" s="200">
        <v>43213</v>
      </c>
      <c r="Z64" s="193" t="s">
        <v>160</v>
      </c>
      <c r="AA64" s="200">
        <v>43255</v>
      </c>
      <c r="AB64" s="22">
        <v>0</v>
      </c>
      <c r="AC64" s="170">
        <v>0</v>
      </c>
      <c r="AD64" s="209">
        <v>245</v>
      </c>
      <c r="AE64" s="194">
        <v>49534.1</v>
      </c>
      <c r="AF64" s="209"/>
      <c r="AG64" s="194"/>
      <c r="AH64" s="209"/>
      <c r="AI64" s="194"/>
      <c r="AJ64" s="233">
        <f t="shared" si="6"/>
        <v>245</v>
      </c>
      <c r="AK64" s="170">
        <f t="shared" si="6"/>
        <v>49534.1</v>
      </c>
      <c r="AL64" s="272">
        <v>0</v>
      </c>
      <c r="AM64" s="212">
        <v>0</v>
      </c>
      <c r="AN64" s="269">
        <v>245</v>
      </c>
      <c r="AO64" s="217">
        <f t="shared" si="2"/>
        <v>49534.1</v>
      </c>
      <c r="AP64" s="232"/>
      <c r="AQ64" s="229"/>
      <c r="AR64" s="212">
        <v>202.18</v>
      </c>
      <c r="AS64" s="212">
        <f t="shared" si="3"/>
        <v>0</v>
      </c>
      <c r="AT64" s="227">
        <v>245</v>
      </c>
      <c r="AU64" s="228">
        <f t="shared" si="4"/>
        <v>49534.1</v>
      </c>
      <c r="AV64" s="406">
        <f t="shared" si="5"/>
        <v>245</v>
      </c>
    </row>
    <row r="65" spans="1:48" s="62" customFormat="1" ht="26.25" customHeight="1">
      <c r="A65" s="59"/>
      <c r="B65" s="60"/>
      <c r="C65" s="60"/>
      <c r="D65" s="22">
        <v>48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834</v>
      </c>
      <c r="W65" s="114">
        <v>43222</v>
      </c>
      <c r="X65" s="193" t="s">
        <v>162</v>
      </c>
      <c r="Y65" s="200">
        <v>43242</v>
      </c>
      <c r="Z65" s="193"/>
      <c r="AA65" s="193"/>
      <c r="AB65" s="22">
        <v>0</v>
      </c>
      <c r="AC65" s="170">
        <v>0</v>
      </c>
      <c r="AD65" s="209">
        <v>555</v>
      </c>
      <c r="AE65" s="194">
        <v>112209.9</v>
      </c>
      <c r="AF65" s="209"/>
      <c r="AG65" s="194"/>
      <c r="AH65" s="209"/>
      <c r="AI65" s="194"/>
      <c r="AJ65" s="233">
        <f t="shared" si="6"/>
        <v>555</v>
      </c>
      <c r="AK65" s="170">
        <f t="shared" si="6"/>
        <v>112209.9</v>
      </c>
      <c r="AL65" s="272">
        <v>0</v>
      </c>
      <c r="AM65" s="212">
        <v>0</v>
      </c>
      <c r="AN65" s="269">
        <v>555</v>
      </c>
      <c r="AO65" s="217">
        <f t="shared" si="2"/>
        <v>112209.9</v>
      </c>
      <c r="AP65" s="232"/>
      <c r="AQ65" s="229"/>
      <c r="AR65" s="212">
        <v>202.18</v>
      </c>
      <c r="AS65" s="212">
        <f t="shared" si="3"/>
        <v>0</v>
      </c>
      <c r="AT65" s="227">
        <v>555</v>
      </c>
      <c r="AU65" s="228">
        <f t="shared" si="4"/>
        <v>112209.90000000001</v>
      </c>
      <c r="AV65" s="406">
        <f t="shared" si="5"/>
        <v>555</v>
      </c>
    </row>
    <row r="66" spans="1:48" s="62" customFormat="1" ht="26.25" customHeight="1">
      <c r="A66" s="59"/>
      <c r="B66" s="60"/>
      <c r="C66" s="60"/>
      <c r="D66" s="22">
        <v>49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45</v>
      </c>
      <c r="AE66" s="194">
        <v>8820</v>
      </c>
      <c r="AF66" s="209"/>
      <c r="AG66" s="194"/>
      <c r="AH66" s="209"/>
      <c r="AI66" s="194"/>
      <c r="AJ66" s="233">
        <f t="shared" si="6"/>
        <v>45</v>
      </c>
      <c r="AK66" s="170">
        <f t="shared" si="6"/>
        <v>8820</v>
      </c>
      <c r="AL66" s="272">
        <v>0</v>
      </c>
      <c r="AM66" s="212">
        <v>0</v>
      </c>
      <c r="AN66" s="269">
        <v>45</v>
      </c>
      <c r="AO66" s="217">
        <f t="shared" si="2"/>
        <v>8820</v>
      </c>
      <c r="AP66" s="232"/>
      <c r="AQ66" s="229"/>
      <c r="AR66" s="212">
        <v>196</v>
      </c>
      <c r="AS66" s="212">
        <f t="shared" si="3"/>
        <v>0</v>
      </c>
      <c r="AT66" s="227">
        <v>45</v>
      </c>
      <c r="AU66" s="228">
        <f t="shared" si="4"/>
        <v>8820</v>
      </c>
      <c r="AV66" s="406">
        <f t="shared" si="5"/>
        <v>45</v>
      </c>
    </row>
    <row r="67" spans="1:48" s="62" customFormat="1" ht="26.25" customHeight="1">
      <c r="A67" s="59"/>
      <c r="B67" s="60"/>
      <c r="C67" s="60"/>
      <c r="D67" s="22">
        <v>50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55</v>
      </c>
      <c r="AE67" s="194">
        <v>11119.9</v>
      </c>
      <c r="AF67" s="209"/>
      <c r="AG67" s="194"/>
      <c r="AH67" s="209"/>
      <c r="AI67" s="194"/>
      <c r="AJ67" s="233">
        <f t="shared" si="6"/>
        <v>55</v>
      </c>
      <c r="AK67" s="170">
        <f t="shared" si="6"/>
        <v>11119.9</v>
      </c>
      <c r="AL67" s="272">
        <v>0</v>
      </c>
      <c r="AM67" s="212">
        <v>0</v>
      </c>
      <c r="AN67" s="269">
        <v>55</v>
      </c>
      <c r="AO67" s="217">
        <f t="shared" si="2"/>
        <v>11119.9</v>
      </c>
      <c r="AP67" s="232"/>
      <c r="AQ67" s="229"/>
      <c r="AR67" s="212">
        <v>202.18</v>
      </c>
      <c r="AS67" s="212">
        <f t="shared" si="3"/>
        <v>0</v>
      </c>
      <c r="AT67" s="227">
        <v>55</v>
      </c>
      <c r="AU67" s="228">
        <f t="shared" si="4"/>
        <v>11119.9</v>
      </c>
      <c r="AV67" s="406">
        <f t="shared" si="5"/>
        <v>55</v>
      </c>
    </row>
    <row r="68" spans="1:48" s="62" customFormat="1" ht="26.25" customHeight="1">
      <c r="A68" s="59"/>
      <c r="B68" s="60"/>
      <c r="C68" s="60"/>
      <c r="D68" s="22">
        <v>51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877</v>
      </c>
      <c r="W68" s="114">
        <v>43230</v>
      </c>
      <c r="X68" s="193" t="s">
        <v>174</v>
      </c>
      <c r="Y68" s="200">
        <v>43285</v>
      </c>
      <c r="Z68" s="193"/>
      <c r="AA68" s="193"/>
      <c r="AB68" s="22">
        <v>0</v>
      </c>
      <c r="AC68" s="170">
        <v>0</v>
      </c>
      <c r="AD68" s="209">
        <v>210</v>
      </c>
      <c r="AE68" s="194">
        <v>42457.8</v>
      </c>
      <c r="AF68" s="209"/>
      <c r="AG68" s="194"/>
      <c r="AH68" s="209"/>
      <c r="AI68" s="194"/>
      <c r="AJ68" s="233">
        <f t="shared" si="6"/>
        <v>210</v>
      </c>
      <c r="AK68" s="170">
        <f t="shared" si="6"/>
        <v>42457.8</v>
      </c>
      <c r="AL68" s="272">
        <v>0</v>
      </c>
      <c r="AM68" s="212">
        <v>0</v>
      </c>
      <c r="AN68" s="269">
        <v>210</v>
      </c>
      <c r="AO68" s="217">
        <f t="shared" si="2"/>
        <v>42457.8</v>
      </c>
      <c r="AP68" s="232"/>
      <c r="AQ68" s="229"/>
      <c r="AR68" s="212">
        <v>202.18</v>
      </c>
      <c r="AS68" s="212">
        <f t="shared" si="3"/>
        <v>0</v>
      </c>
      <c r="AT68" s="227">
        <v>210</v>
      </c>
      <c r="AU68" s="228">
        <f t="shared" si="4"/>
        <v>42457.8</v>
      </c>
      <c r="AV68" s="406">
        <f t="shared" si="5"/>
        <v>210</v>
      </c>
    </row>
    <row r="69" spans="1:48" s="62" customFormat="1" ht="26.25" customHeight="1">
      <c r="A69" s="59"/>
      <c r="B69" s="60"/>
      <c r="C69" s="60"/>
      <c r="D69" s="22">
        <v>52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161</v>
      </c>
      <c r="V69" s="115">
        <v>1053</v>
      </c>
      <c r="W69" s="114">
        <v>43255</v>
      </c>
      <c r="X69" s="193" t="s">
        <v>177</v>
      </c>
      <c r="Y69" s="200">
        <v>43285</v>
      </c>
      <c r="Z69" s="193" t="s">
        <v>178</v>
      </c>
      <c r="AA69" s="200">
        <v>43269</v>
      </c>
      <c r="AB69" s="22">
        <v>0</v>
      </c>
      <c r="AC69" s="170">
        <v>0</v>
      </c>
      <c r="AD69" s="209">
        <v>105</v>
      </c>
      <c r="AE69" s="194">
        <v>21228.9</v>
      </c>
      <c r="AF69" s="209"/>
      <c r="AG69" s="194"/>
      <c r="AH69" s="209"/>
      <c r="AI69" s="194"/>
      <c r="AJ69" s="233">
        <f t="shared" si="6"/>
        <v>105</v>
      </c>
      <c r="AK69" s="170">
        <f t="shared" si="6"/>
        <v>21228.9</v>
      </c>
      <c r="AL69" s="272">
        <v>0</v>
      </c>
      <c r="AM69" s="212">
        <v>0</v>
      </c>
      <c r="AN69" s="269">
        <v>105</v>
      </c>
      <c r="AO69" s="217">
        <f t="shared" si="2"/>
        <v>21228.9</v>
      </c>
      <c r="AP69" s="232"/>
      <c r="AQ69" s="229"/>
      <c r="AR69" s="212">
        <v>202.18</v>
      </c>
      <c r="AS69" s="212">
        <f t="shared" si="3"/>
        <v>0</v>
      </c>
      <c r="AT69" s="227">
        <v>105</v>
      </c>
      <c r="AU69" s="228">
        <f t="shared" si="4"/>
        <v>21228.9</v>
      </c>
      <c r="AV69" s="406">
        <f t="shared" si="5"/>
        <v>105</v>
      </c>
    </row>
    <row r="70" spans="1:48" s="62" customFormat="1" ht="26.25" customHeight="1">
      <c r="A70" s="59"/>
      <c r="B70" s="60"/>
      <c r="C70" s="60"/>
      <c r="D70" s="22">
        <v>53</v>
      </c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187</v>
      </c>
      <c r="V70" s="115">
        <v>1418</v>
      </c>
      <c r="W70" s="114">
        <v>43312</v>
      </c>
      <c r="X70" s="193" t="s">
        <v>184</v>
      </c>
      <c r="Y70" s="200">
        <v>43332</v>
      </c>
      <c r="Z70" s="193" t="s">
        <v>185</v>
      </c>
      <c r="AA70" s="200">
        <v>43320</v>
      </c>
      <c r="AB70" s="22">
        <v>0</v>
      </c>
      <c r="AC70" s="170">
        <v>0</v>
      </c>
      <c r="AD70" s="209">
        <v>30</v>
      </c>
      <c r="AE70" s="194">
        <v>5880</v>
      </c>
      <c r="AF70" s="209"/>
      <c r="AG70" s="194"/>
      <c r="AH70" s="209"/>
      <c r="AI70" s="194"/>
      <c r="AJ70" s="233">
        <f t="shared" si="6"/>
        <v>30</v>
      </c>
      <c r="AK70" s="170">
        <f t="shared" si="6"/>
        <v>5880</v>
      </c>
      <c r="AL70" s="272">
        <v>0</v>
      </c>
      <c r="AM70" s="212">
        <v>0</v>
      </c>
      <c r="AN70" s="269">
        <v>30</v>
      </c>
      <c r="AO70" s="217">
        <v>0</v>
      </c>
      <c r="AP70" s="232"/>
      <c r="AQ70" s="229"/>
      <c r="AR70" s="212">
        <v>196</v>
      </c>
      <c r="AS70" s="212">
        <f t="shared" si="3"/>
        <v>0</v>
      </c>
      <c r="AT70" s="227">
        <v>30</v>
      </c>
      <c r="AU70" s="228">
        <f t="shared" si="4"/>
        <v>5880</v>
      </c>
      <c r="AV70" s="406">
        <f t="shared" si="5"/>
        <v>30</v>
      </c>
    </row>
    <row r="71" spans="1:48" s="62" customFormat="1" ht="26.25" customHeight="1">
      <c r="A71" s="59"/>
      <c r="B71" s="60"/>
      <c r="C71" s="427"/>
      <c r="D71" s="428"/>
      <c r="E71" s="79"/>
      <c r="F71" s="53" t="s">
        <v>65</v>
      </c>
      <c r="G71" s="222" t="s">
        <v>111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/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3">
        <v>30</v>
      </c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30</v>
      </c>
      <c r="AU71" s="228"/>
      <c r="AV71" s="406">
        <f t="shared" si="5"/>
        <v>30</v>
      </c>
    </row>
    <row r="72" spans="1:48" s="62" customFormat="1" ht="26.25" customHeight="1">
      <c r="A72" s="59"/>
      <c r="B72" s="60"/>
      <c r="C72" s="60"/>
      <c r="D72" s="22">
        <v>54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>
        <v>250</v>
      </c>
      <c r="P72" s="276">
        <v>66042.58</v>
      </c>
      <c r="Q72" s="115"/>
      <c r="R72" s="276"/>
      <c r="S72" s="115"/>
      <c r="T72" s="276"/>
      <c r="U72" s="278" t="s">
        <v>181</v>
      </c>
      <c r="V72" s="115">
        <v>1405</v>
      </c>
      <c r="W72" s="114">
        <v>43052</v>
      </c>
      <c r="X72" s="115" t="s">
        <v>182</v>
      </c>
      <c r="Y72" s="221">
        <v>43201</v>
      </c>
      <c r="Z72" s="115"/>
      <c r="AA72" s="115"/>
      <c r="AB72" s="22">
        <v>0</v>
      </c>
      <c r="AC72" s="170">
        <v>0</v>
      </c>
      <c r="AD72" s="208">
        <v>125</v>
      </c>
      <c r="AE72" s="170">
        <v>26255</v>
      </c>
      <c r="AF72" s="208"/>
      <c r="AG72" s="170"/>
      <c r="AH72" s="208"/>
      <c r="AI72" s="170"/>
      <c r="AJ72" s="233">
        <f t="shared" si="6"/>
        <v>125</v>
      </c>
      <c r="AK72" s="170">
        <f t="shared" si="6"/>
        <v>26255</v>
      </c>
      <c r="AL72" s="270">
        <f>63+62</f>
        <v>125</v>
      </c>
      <c r="AM72" s="170">
        <v>26255</v>
      </c>
      <c r="AN72" s="270">
        <v>0</v>
      </c>
      <c r="AO72" s="170">
        <f t="shared" si="2"/>
        <v>0</v>
      </c>
      <c r="AP72" s="233"/>
      <c r="AQ72" s="233"/>
      <c r="AR72" s="170">
        <v>210.04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6.25" customHeight="1">
      <c r="A73" s="59"/>
      <c r="B73" s="60"/>
      <c r="C73" s="60"/>
      <c r="D73" s="22">
        <v>55</v>
      </c>
      <c r="E73" s="79" t="s">
        <v>24</v>
      </c>
      <c r="F73" s="51" t="s">
        <v>68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/>
      <c r="P73" s="276"/>
      <c r="Q73" s="115"/>
      <c r="R73" s="276"/>
      <c r="S73" s="115"/>
      <c r="T73" s="276"/>
      <c r="U73" s="278" t="s">
        <v>145</v>
      </c>
      <c r="V73" s="115">
        <v>1381</v>
      </c>
      <c r="W73" s="114">
        <v>43047</v>
      </c>
      <c r="X73" s="115" t="s">
        <v>144</v>
      </c>
      <c r="Y73" s="221">
        <v>43201</v>
      </c>
      <c r="Z73" s="115"/>
      <c r="AA73" s="115"/>
      <c r="AB73" s="22">
        <v>0</v>
      </c>
      <c r="AC73" s="170">
        <v>0</v>
      </c>
      <c r="AD73" s="208">
        <v>80</v>
      </c>
      <c r="AE73" s="170">
        <v>16803.2</v>
      </c>
      <c r="AF73" s="208"/>
      <c r="AG73" s="170"/>
      <c r="AH73" s="208"/>
      <c r="AI73" s="170"/>
      <c r="AJ73" s="233">
        <f t="shared" si="6"/>
        <v>80</v>
      </c>
      <c r="AK73" s="170">
        <f t="shared" si="6"/>
        <v>16803.2</v>
      </c>
      <c r="AL73" s="270">
        <v>80</v>
      </c>
      <c r="AM73" s="170">
        <v>16803.2</v>
      </c>
      <c r="AN73" s="270">
        <v>0</v>
      </c>
      <c r="AO73" s="170">
        <f t="shared" si="2"/>
        <v>0</v>
      </c>
      <c r="AP73" s="233"/>
      <c r="AQ73" s="233"/>
      <c r="AR73" s="170">
        <f>AM73/AL73</f>
        <v>210.04000000000002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>
        <v>56</v>
      </c>
      <c r="E74" s="79" t="s">
        <v>24</v>
      </c>
      <c r="F74" s="51" t="s">
        <v>68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148</v>
      </c>
      <c r="V74" s="115">
        <v>546</v>
      </c>
      <c r="W74" s="114">
        <v>43182</v>
      </c>
      <c r="X74" s="115" t="s">
        <v>149</v>
      </c>
      <c r="Y74" s="221">
        <v>43201</v>
      </c>
      <c r="Z74" s="115" t="s">
        <v>147</v>
      </c>
      <c r="AA74" s="221">
        <v>43252</v>
      </c>
      <c r="AB74" s="22">
        <v>0</v>
      </c>
      <c r="AC74" s="170">
        <v>0</v>
      </c>
      <c r="AD74" s="208">
        <v>10</v>
      </c>
      <c r="AE74" s="170">
        <v>2038.7</v>
      </c>
      <c r="AF74" s="208"/>
      <c r="AG74" s="170"/>
      <c r="AH74" s="208"/>
      <c r="AI74" s="170"/>
      <c r="AJ74" s="233">
        <f t="shared" si="6"/>
        <v>10</v>
      </c>
      <c r="AK74" s="170">
        <f t="shared" si="6"/>
        <v>2038.7</v>
      </c>
      <c r="AL74" s="270">
        <v>10</v>
      </c>
      <c r="AM74" s="170">
        <v>2038.7</v>
      </c>
      <c r="AN74" s="270">
        <v>0</v>
      </c>
      <c r="AO74" s="170">
        <f t="shared" si="2"/>
        <v>0</v>
      </c>
      <c r="AP74" s="233"/>
      <c r="AQ74" s="233"/>
      <c r="AR74" s="170">
        <f>AM74/AL74</f>
        <v>203.87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>
        <v>57</v>
      </c>
      <c r="E75" s="79" t="s">
        <v>24</v>
      </c>
      <c r="F75" s="162" t="s">
        <v>68</v>
      </c>
      <c r="G75" s="222" t="s">
        <v>146</v>
      </c>
      <c r="H75" s="193" t="s">
        <v>91</v>
      </c>
      <c r="I75" s="193" t="s">
        <v>91</v>
      </c>
      <c r="J75" s="193"/>
      <c r="K75" s="193"/>
      <c r="L75" s="243"/>
      <c r="M75" s="242">
        <f t="shared" si="0"/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148</v>
      </c>
      <c r="V75" s="115">
        <v>834</v>
      </c>
      <c r="W75" s="114">
        <v>43222</v>
      </c>
      <c r="X75" s="193" t="s">
        <v>162</v>
      </c>
      <c r="Y75" s="200">
        <v>43242</v>
      </c>
      <c r="Z75" s="193"/>
      <c r="AA75" s="193"/>
      <c r="AB75" s="22">
        <v>0</v>
      </c>
      <c r="AC75" s="170">
        <v>0</v>
      </c>
      <c r="AD75" s="209">
        <v>10</v>
      </c>
      <c r="AE75" s="194">
        <v>2100.4</v>
      </c>
      <c r="AF75" s="209"/>
      <c r="AG75" s="194"/>
      <c r="AH75" s="209"/>
      <c r="AI75" s="194"/>
      <c r="AJ75" s="233">
        <f t="shared" si="6"/>
        <v>10</v>
      </c>
      <c r="AK75" s="170">
        <f t="shared" si="6"/>
        <v>2100.4</v>
      </c>
      <c r="AL75" s="272">
        <v>0</v>
      </c>
      <c r="AM75" s="212">
        <v>0</v>
      </c>
      <c r="AN75" s="269">
        <v>10</v>
      </c>
      <c r="AO75" s="217">
        <f t="shared" si="2"/>
        <v>2100.4</v>
      </c>
      <c r="AP75" s="232"/>
      <c r="AQ75" s="229"/>
      <c r="AR75" s="212">
        <v>210.04</v>
      </c>
      <c r="AS75" s="212">
        <f t="shared" si="3"/>
        <v>0</v>
      </c>
      <c r="AT75" s="227">
        <v>10</v>
      </c>
      <c r="AU75" s="228">
        <f t="shared" si="4"/>
        <v>2100.4</v>
      </c>
      <c r="AV75" s="406">
        <f t="shared" si="5"/>
        <v>10</v>
      </c>
    </row>
    <row r="76" spans="1:48" s="62" customFormat="1" ht="26.25" customHeight="1">
      <c r="A76" s="59"/>
      <c r="B76" s="60"/>
      <c r="C76" s="60"/>
      <c r="D76" s="22">
        <v>58</v>
      </c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1006</v>
      </c>
      <c r="W76" s="114">
        <v>43244</v>
      </c>
      <c r="X76" s="193" t="s">
        <v>179</v>
      </c>
      <c r="Y76" s="200">
        <v>43285</v>
      </c>
      <c r="Z76" s="193"/>
      <c r="AA76" s="193"/>
      <c r="AB76" s="22">
        <v>0</v>
      </c>
      <c r="AC76" s="170">
        <v>0</v>
      </c>
      <c r="AD76" s="209">
        <v>5</v>
      </c>
      <c r="AE76" s="194">
        <v>1019.35</v>
      </c>
      <c r="AF76" s="209"/>
      <c r="AG76" s="194"/>
      <c r="AH76" s="209"/>
      <c r="AI76" s="194"/>
      <c r="AJ76" s="233">
        <f t="shared" si="6"/>
        <v>5</v>
      </c>
      <c r="AK76" s="170">
        <f t="shared" si="6"/>
        <v>1019.35</v>
      </c>
      <c r="AL76" s="272">
        <v>0</v>
      </c>
      <c r="AM76" s="212">
        <v>0</v>
      </c>
      <c r="AN76" s="269">
        <v>5</v>
      </c>
      <c r="AO76" s="217">
        <f t="shared" si="2"/>
        <v>1019.35</v>
      </c>
      <c r="AP76" s="232"/>
      <c r="AQ76" s="229"/>
      <c r="AR76" s="212">
        <v>203.87</v>
      </c>
      <c r="AS76" s="212">
        <f t="shared" si="3"/>
        <v>0</v>
      </c>
      <c r="AT76" s="227">
        <v>5</v>
      </c>
      <c r="AU76" s="228">
        <f t="shared" si="4"/>
        <v>1019.35</v>
      </c>
      <c r="AV76" s="406">
        <f t="shared" si="5"/>
        <v>5</v>
      </c>
    </row>
    <row r="77" spans="1:48" s="62" customFormat="1" ht="25.5" customHeight="1">
      <c r="A77" s="59"/>
      <c r="B77" s="60"/>
      <c r="C77" s="60"/>
      <c r="D77" s="22">
        <v>59</v>
      </c>
      <c r="E77" s="79" t="s">
        <v>24</v>
      </c>
      <c r="F77" s="51" t="s">
        <v>55</v>
      </c>
      <c r="G77" s="275" t="s">
        <v>114</v>
      </c>
      <c r="H77" s="115" t="s">
        <v>91</v>
      </c>
      <c r="I77" s="115" t="s">
        <v>91</v>
      </c>
      <c r="J77" s="115">
        <v>360</v>
      </c>
      <c r="K77" s="115">
        <v>1</v>
      </c>
      <c r="L77" s="276">
        <v>303.16000000000003</v>
      </c>
      <c r="M77" s="277">
        <f t="shared" si="0"/>
        <v>360</v>
      </c>
      <c r="N77" s="276">
        <f t="shared" si="1"/>
        <v>109137.60000000001</v>
      </c>
      <c r="O77" s="115">
        <v>180</v>
      </c>
      <c r="P77" s="276">
        <v>49667.4</v>
      </c>
      <c r="Q77" s="115">
        <v>360</v>
      </c>
      <c r="R77" s="276">
        <v>107470.8</v>
      </c>
      <c r="S77" s="115">
        <v>90</v>
      </c>
      <c r="T77" s="276">
        <v>27284.400000000001</v>
      </c>
      <c r="U77" s="278" t="s">
        <v>115</v>
      </c>
      <c r="V77" s="115">
        <v>1583</v>
      </c>
      <c r="W77" s="114">
        <v>43082</v>
      </c>
      <c r="X77" s="115" t="s">
        <v>113</v>
      </c>
      <c r="Y77" s="221">
        <v>43109</v>
      </c>
      <c r="Z77" s="115" t="s">
        <v>110</v>
      </c>
      <c r="AA77" s="221">
        <v>43111</v>
      </c>
      <c r="AB77" s="22">
        <v>0</v>
      </c>
      <c r="AC77" s="170">
        <v>0</v>
      </c>
      <c r="AD77" s="208">
        <v>8</v>
      </c>
      <c r="AE77" s="170">
        <v>2388</v>
      </c>
      <c r="AF77" s="208"/>
      <c r="AG77" s="170"/>
      <c r="AH77" s="208"/>
      <c r="AI77" s="170"/>
      <c r="AJ77" s="233">
        <f t="shared" si="6"/>
        <v>8</v>
      </c>
      <c r="AK77" s="170">
        <f t="shared" si="6"/>
        <v>2388</v>
      </c>
      <c r="AL77" s="270">
        <v>0</v>
      </c>
      <c r="AM77" s="170">
        <v>0</v>
      </c>
      <c r="AN77" s="270">
        <v>8</v>
      </c>
      <c r="AO77" s="170">
        <f t="shared" si="2"/>
        <v>2388</v>
      </c>
      <c r="AP77" s="233"/>
      <c r="AQ77" s="233"/>
      <c r="AR77" s="170">
        <v>298.5</v>
      </c>
      <c r="AS77" s="170">
        <f t="shared" si="3"/>
        <v>0</v>
      </c>
      <c r="AT77" s="284">
        <f>8-8</f>
        <v>0</v>
      </c>
      <c r="AU77" s="435">
        <f t="shared" si="4"/>
        <v>0</v>
      </c>
      <c r="AV77" s="284">
        <f t="shared" si="5"/>
        <v>0</v>
      </c>
    </row>
    <row r="78" spans="1:48" s="62" customFormat="1" ht="25.5" customHeight="1">
      <c r="A78" s="59"/>
      <c r="B78" s="60"/>
      <c r="C78" s="60"/>
      <c r="D78" s="22">
        <v>60</v>
      </c>
      <c r="E78" s="79" t="s">
        <v>24</v>
      </c>
      <c r="F78" s="51" t="s">
        <v>55</v>
      </c>
      <c r="G78" s="275" t="s">
        <v>114</v>
      </c>
      <c r="H78" s="115" t="s">
        <v>91</v>
      </c>
      <c r="I78" s="115" t="s">
        <v>91</v>
      </c>
      <c r="J78" s="115"/>
      <c r="K78" s="115"/>
      <c r="L78" s="276"/>
      <c r="M78" s="277">
        <f t="shared" si="0"/>
        <v>0</v>
      </c>
      <c r="N78" s="276">
        <f t="shared" si="1"/>
        <v>0</v>
      </c>
      <c r="O78" s="115"/>
      <c r="P78" s="276"/>
      <c r="Q78" s="115"/>
      <c r="R78" s="276"/>
      <c r="S78" s="115"/>
      <c r="T78" s="276"/>
      <c r="U78" s="278" t="s">
        <v>137</v>
      </c>
      <c r="V78" s="115">
        <v>427</v>
      </c>
      <c r="W78" s="114">
        <v>43164</v>
      </c>
      <c r="X78" s="115" t="s">
        <v>138</v>
      </c>
      <c r="Y78" s="221">
        <v>43164</v>
      </c>
      <c r="Z78" s="115"/>
      <c r="AA78" s="115"/>
      <c r="AB78" s="22">
        <v>0</v>
      </c>
      <c r="AC78" s="170">
        <v>0</v>
      </c>
      <c r="AD78" s="208">
        <v>34</v>
      </c>
      <c r="AE78" s="170">
        <v>10149</v>
      </c>
      <c r="AF78" s="208"/>
      <c r="AG78" s="170"/>
      <c r="AH78" s="208"/>
      <c r="AI78" s="170"/>
      <c r="AJ78" s="233">
        <f t="shared" si="6"/>
        <v>34</v>
      </c>
      <c r="AK78" s="170">
        <f t="shared" si="6"/>
        <v>10149</v>
      </c>
      <c r="AL78" s="270">
        <v>0</v>
      </c>
      <c r="AM78" s="170">
        <v>0</v>
      </c>
      <c r="AN78" s="270">
        <v>34</v>
      </c>
      <c r="AO78" s="170">
        <f t="shared" si="2"/>
        <v>10149</v>
      </c>
      <c r="AP78" s="233"/>
      <c r="AQ78" s="233"/>
      <c r="AR78" s="170">
        <v>298.5</v>
      </c>
      <c r="AS78" s="170">
        <f t="shared" si="3"/>
        <v>0</v>
      </c>
      <c r="AT78" s="284">
        <f>34-34</f>
        <v>0</v>
      </c>
      <c r="AU78" s="435">
        <f t="shared" si="4"/>
        <v>0</v>
      </c>
      <c r="AV78" s="284">
        <f t="shared" si="5"/>
        <v>0</v>
      </c>
    </row>
    <row r="79" spans="1:48" s="62" customFormat="1" ht="25.5" customHeight="1">
      <c r="A79" s="59"/>
      <c r="B79" s="60"/>
      <c r="C79" s="60"/>
      <c r="D79" s="22">
        <v>61</v>
      </c>
      <c r="E79" s="79" t="s">
        <v>24</v>
      </c>
      <c r="F79" s="140" t="s">
        <v>55</v>
      </c>
      <c r="G79" s="222" t="s">
        <v>114</v>
      </c>
      <c r="H79" s="193" t="s">
        <v>91</v>
      </c>
      <c r="I79" s="193" t="s">
        <v>91</v>
      </c>
      <c r="J79" s="193"/>
      <c r="K79" s="193"/>
      <c r="L79" s="243"/>
      <c r="M79" s="242">
        <f t="shared" si="0"/>
        <v>0</v>
      </c>
      <c r="N79" s="243">
        <f t="shared" si="1"/>
        <v>0</v>
      </c>
      <c r="O79" s="193"/>
      <c r="P79" s="243"/>
      <c r="Q79" s="193"/>
      <c r="R79" s="243"/>
      <c r="S79" s="193"/>
      <c r="T79" s="243"/>
      <c r="U79" s="203" t="s">
        <v>153</v>
      </c>
      <c r="V79" s="115">
        <v>613</v>
      </c>
      <c r="W79" s="114">
        <v>43193</v>
      </c>
      <c r="X79" s="193">
        <v>97</v>
      </c>
      <c r="Y79" s="200">
        <v>43202</v>
      </c>
      <c r="Z79" s="193" t="s">
        <v>154</v>
      </c>
      <c r="AA79" s="200">
        <v>43214</v>
      </c>
      <c r="AB79" s="22">
        <v>0</v>
      </c>
      <c r="AC79" s="170">
        <v>0</v>
      </c>
      <c r="AD79" s="209">
        <v>270</v>
      </c>
      <c r="AE79" s="194">
        <v>80595</v>
      </c>
      <c r="AF79" s="209"/>
      <c r="AG79" s="194"/>
      <c r="AH79" s="209"/>
      <c r="AI79" s="194"/>
      <c r="AJ79" s="233">
        <f t="shared" si="6"/>
        <v>270</v>
      </c>
      <c r="AK79" s="170">
        <f t="shared" si="6"/>
        <v>80595</v>
      </c>
      <c r="AL79" s="272">
        <v>0</v>
      </c>
      <c r="AM79" s="212">
        <v>0</v>
      </c>
      <c r="AN79" s="269">
        <v>270</v>
      </c>
      <c r="AO79" s="217">
        <f t="shared" si="2"/>
        <v>80595</v>
      </c>
      <c r="AP79" s="232"/>
      <c r="AQ79" s="229"/>
      <c r="AR79" s="212">
        <v>298.5</v>
      </c>
      <c r="AS79" s="212">
        <f t="shared" si="3"/>
        <v>0</v>
      </c>
      <c r="AT79" s="261">
        <f>270-16</f>
        <v>254</v>
      </c>
      <c r="AU79" s="262">
        <f t="shared" si="4"/>
        <v>75819</v>
      </c>
      <c r="AV79" s="406">
        <f t="shared" si="5"/>
        <v>254</v>
      </c>
    </row>
    <row r="80" spans="1:48" s="62" customFormat="1" ht="25.5" customHeight="1">
      <c r="A80" s="59"/>
      <c r="B80" s="60"/>
      <c r="C80" s="60"/>
      <c r="D80" s="22">
        <v>62</v>
      </c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115</v>
      </c>
      <c r="V80" s="115">
        <v>612</v>
      </c>
      <c r="W80" s="114">
        <v>43193</v>
      </c>
      <c r="X80" s="193">
        <v>97</v>
      </c>
      <c r="Y80" s="200">
        <v>43202</v>
      </c>
      <c r="Z80" s="193" t="s">
        <v>155</v>
      </c>
      <c r="AA80" s="200">
        <v>43214</v>
      </c>
      <c r="AB80" s="22">
        <v>0</v>
      </c>
      <c r="AC80" s="170">
        <v>0</v>
      </c>
      <c r="AD80" s="209">
        <v>40</v>
      </c>
      <c r="AE80" s="194">
        <v>11940</v>
      </c>
      <c r="AF80" s="209"/>
      <c r="AG80" s="194"/>
      <c r="AH80" s="209"/>
      <c r="AI80" s="194"/>
      <c r="AJ80" s="233">
        <f t="shared" si="6"/>
        <v>40</v>
      </c>
      <c r="AK80" s="170">
        <f t="shared" si="6"/>
        <v>11940</v>
      </c>
      <c r="AL80" s="272">
        <v>0</v>
      </c>
      <c r="AM80" s="212">
        <v>0</v>
      </c>
      <c r="AN80" s="269">
        <v>40</v>
      </c>
      <c r="AO80" s="217">
        <f t="shared" si="2"/>
        <v>11940</v>
      </c>
      <c r="AP80" s="232"/>
      <c r="AQ80" s="229"/>
      <c r="AR80" s="212">
        <v>298.5</v>
      </c>
      <c r="AS80" s="212">
        <f t="shared" si="3"/>
        <v>0</v>
      </c>
      <c r="AT80" s="227">
        <v>40</v>
      </c>
      <c r="AU80" s="228">
        <f t="shared" si="4"/>
        <v>11940</v>
      </c>
      <c r="AV80" s="406">
        <f t="shared" si="5"/>
        <v>40</v>
      </c>
    </row>
    <row r="81" spans="1:48" s="62" customFormat="1" ht="25.5" customHeight="1">
      <c r="A81" s="59"/>
      <c r="B81" s="60"/>
      <c r="C81" s="60"/>
      <c r="D81" s="22">
        <v>63</v>
      </c>
      <c r="E81" s="79" t="s">
        <v>24</v>
      </c>
      <c r="F81" s="51" t="s">
        <v>64</v>
      </c>
      <c r="G81" s="275" t="s">
        <v>140</v>
      </c>
      <c r="H81" s="115" t="s">
        <v>91</v>
      </c>
      <c r="I81" s="115" t="s">
        <v>91</v>
      </c>
      <c r="J81" s="115">
        <v>1080</v>
      </c>
      <c r="K81" s="115">
        <v>2</v>
      </c>
      <c r="L81" s="276">
        <v>304.58999999999997</v>
      </c>
      <c r="M81" s="277">
        <f t="shared" si="0"/>
        <v>2160</v>
      </c>
      <c r="N81" s="276">
        <f t="shared" si="1"/>
        <v>657914.39999999991</v>
      </c>
      <c r="O81" s="115">
        <v>180</v>
      </c>
      <c r="P81" s="276">
        <v>49908.6</v>
      </c>
      <c r="Q81" s="115">
        <v>1080</v>
      </c>
      <c r="R81" s="276">
        <v>323838</v>
      </c>
      <c r="S81" s="115">
        <v>602</v>
      </c>
      <c r="T81" s="276">
        <v>183363.18</v>
      </c>
      <c r="U81" s="278" t="s">
        <v>139</v>
      </c>
      <c r="V81" s="115">
        <v>427</v>
      </c>
      <c r="W81" s="114">
        <v>43164</v>
      </c>
      <c r="X81" s="115" t="s">
        <v>138</v>
      </c>
      <c r="Y81" s="221">
        <v>43164</v>
      </c>
      <c r="Z81" s="115"/>
      <c r="AA81" s="115"/>
      <c r="AB81" s="22">
        <v>0</v>
      </c>
      <c r="AC81" s="170">
        <v>0</v>
      </c>
      <c r="AD81" s="208">
        <v>56</v>
      </c>
      <c r="AE81" s="170">
        <v>16794.400000000001</v>
      </c>
      <c r="AF81" s="208"/>
      <c r="AG81" s="170"/>
      <c r="AH81" s="208"/>
      <c r="AI81" s="170"/>
      <c r="AJ81" s="233">
        <f t="shared" si="6"/>
        <v>56</v>
      </c>
      <c r="AK81" s="170">
        <f t="shared" si="6"/>
        <v>16794.400000000001</v>
      </c>
      <c r="AL81" s="270">
        <v>0</v>
      </c>
      <c r="AM81" s="170">
        <v>0</v>
      </c>
      <c r="AN81" s="270">
        <v>56</v>
      </c>
      <c r="AO81" s="170">
        <f t="shared" si="2"/>
        <v>16794.400000000001</v>
      </c>
      <c r="AP81" s="233"/>
      <c r="AQ81" s="233"/>
      <c r="AR81" s="170">
        <v>299.89999999999998</v>
      </c>
      <c r="AS81" s="170">
        <f t="shared" si="3"/>
        <v>0</v>
      </c>
      <c r="AT81" s="233">
        <f>18-18</f>
        <v>0</v>
      </c>
      <c r="AU81" s="386">
        <f t="shared" si="4"/>
        <v>0</v>
      </c>
      <c r="AV81" s="284">
        <f t="shared" si="5"/>
        <v>0</v>
      </c>
    </row>
    <row r="82" spans="1:48" s="62" customFormat="1" ht="25.5" customHeight="1">
      <c r="A82" s="59"/>
      <c r="B82" s="60"/>
      <c r="C82" s="60"/>
      <c r="D82" s="22">
        <v>64</v>
      </c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3">
        <f t="shared" si="6"/>
        <v>510</v>
      </c>
      <c r="AK82" s="170">
        <f t="shared" si="6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27">
        <f>510-42-60</f>
        <v>408</v>
      </c>
      <c r="AU82" s="228">
        <f t="shared" si="4"/>
        <v>122359.2</v>
      </c>
      <c r="AV82" s="406">
        <f t="shared" si="5"/>
        <v>408</v>
      </c>
    </row>
    <row r="83" spans="1:48" s="62" customFormat="1" ht="31.5">
      <c r="A83" s="59"/>
      <c r="B83" s="60"/>
      <c r="C83" s="60"/>
      <c r="D83" s="22">
        <v>65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>
        <v>480</v>
      </c>
      <c r="K83" s="193">
        <v>3</v>
      </c>
      <c r="L83" s="243">
        <v>19.399999999999999</v>
      </c>
      <c r="M83" s="242">
        <f>J83*K83</f>
        <v>1440</v>
      </c>
      <c r="N83" s="243">
        <f t="shared" si="1"/>
        <v>27935.999999999996</v>
      </c>
      <c r="O83" s="193">
        <v>6637</v>
      </c>
      <c r="P83" s="243">
        <v>108249.47</v>
      </c>
      <c r="Q83" s="193">
        <v>4000</v>
      </c>
      <c r="R83" s="243">
        <v>89720</v>
      </c>
      <c r="S83" s="193"/>
      <c r="T83" s="243"/>
      <c r="U83" s="203" t="s">
        <v>120</v>
      </c>
      <c r="V83" s="115">
        <v>1745</v>
      </c>
      <c r="W83" s="114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22">
        <v>0</v>
      </c>
      <c r="AC83" s="170">
        <v>0</v>
      </c>
      <c r="AD83" s="209">
        <v>6637</v>
      </c>
      <c r="AE83" s="194">
        <v>102541.65</v>
      </c>
      <c r="AF83" s="209"/>
      <c r="AG83" s="194"/>
      <c r="AH83" s="209"/>
      <c r="AI83" s="194"/>
      <c r="AJ83" s="233">
        <f t="shared" si="6"/>
        <v>6637</v>
      </c>
      <c r="AK83" s="170">
        <f t="shared" si="6"/>
        <v>102541.65</v>
      </c>
      <c r="AL83" s="272">
        <f>180+290</f>
        <v>470</v>
      </c>
      <c r="AM83" s="212">
        <f>AL83*AR83</f>
        <v>7261.5</v>
      </c>
      <c r="AN83" s="269">
        <v>6167</v>
      </c>
      <c r="AO83" s="217">
        <f t="shared" si="2"/>
        <v>95280.15</v>
      </c>
      <c r="AP83" s="232"/>
      <c r="AQ83" s="229"/>
      <c r="AR83" s="212">
        <v>15.45</v>
      </c>
      <c r="AS83" s="212">
        <f t="shared" si="3"/>
        <v>0</v>
      </c>
      <c r="AT83" s="261">
        <f>5867-550-40-4737-460</f>
        <v>80</v>
      </c>
      <c r="AU83" s="262">
        <f t="shared" si="4"/>
        <v>1236</v>
      </c>
      <c r="AV83" s="406">
        <f t="shared" si="5"/>
        <v>80</v>
      </c>
    </row>
    <row r="84" spans="1:48" s="62" customFormat="1" ht="31.5">
      <c r="A84" s="59"/>
      <c r="B84" s="60"/>
      <c r="C84" s="60"/>
      <c r="D84" s="22">
        <v>66</v>
      </c>
      <c r="E84" s="79" t="s">
        <v>24</v>
      </c>
      <c r="F84" s="150" t="s">
        <v>57</v>
      </c>
      <c r="G84" s="222" t="s">
        <v>121</v>
      </c>
      <c r="H84" s="193" t="s">
        <v>91</v>
      </c>
      <c r="I84" s="193" t="s">
        <v>91</v>
      </c>
      <c r="J84" s="193"/>
      <c r="K84" s="193"/>
      <c r="L84" s="243"/>
      <c r="M84" s="242">
        <f t="shared" ref="M84:M85" si="8">J84*K84</f>
        <v>0</v>
      </c>
      <c r="N84" s="243">
        <f t="shared" ref="N84:N87" si="9">L84*M84</f>
        <v>0</v>
      </c>
      <c r="O84" s="193"/>
      <c r="P84" s="243"/>
      <c r="Q84" s="193"/>
      <c r="R84" s="243"/>
      <c r="S84" s="193"/>
      <c r="T84" s="243"/>
      <c r="U84" s="203" t="s">
        <v>173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144</v>
      </c>
      <c r="AE84" s="194">
        <v>2142.7199999999998</v>
      </c>
      <c r="AF84" s="209"/>
      <c r="AG84" s="194"/>
      <c r="AH84" s="209"/>
      <c r="AI84" s="194"/>
      <c r="AJ84" s="233">
        <f t="shared" si="6"/>
        <v>144</v>
      </c>
      <c r="AK84" s="170">
        <f t="shared" si="6"/>
        <v>2142.7199999999998</v>
      </c>
      <c r="AL84" s="272">
        <v>0</v>
      </c>
      <c r="AM84" s="212">
        <v>0</v>
      </c>
      <c r="AN84" s="269">
        <v>144</v>
      </c>
      <c r="AO84" s="217">
        <f t="shared" ref="AO84" si="10">AC84+AK84-AM84</f>
        <v>2142.7199999999998</v>
      </c>
      <c r="AP84" s="232"/>
      <c r="AQ84" s="229"/>
      <c r="AR84" s="212">
        <v>14.88</v>
      </c>
      <c r="AS84" s="212">
        <f t="shared" si="3"/>
        <v>0</v>
      </c>
      <c r="AT84" s="227">
        <v>144</v>
      </c>
      <c r="AU84" s="228">
        <f t="shared" si="4"/>
        <v>2142.7200000000003</v>
      </c>
      <c r="AV84" s="406">
        <f t="shared" ref="AV84:AV94" si="11">AT84</f>
        <v>144</v>
      </c>
    </row>
    <row r="85" spans="1:48" s="62" customFormat="1" ht="31.5">
      <c r="A85" s="59"/>
      <c r="B85" s="60"/>
      <c r="C85" s="60"/>
      <c r="D85" s="22">
        <v>67</v>
      </c>
      <c r="E85" s="79" t="s">
        <v>24</v>
      </c>
      <c r="F85" s="150" t="s">
        <v>57</v>
      </c>
      <c r="G85" s="222" t="s">
        <v>121</v>
      </c>
      <c r="H85" s="193" t="s">
        <v>91</v>
      </c>
      <c r="I85" s="193" t="s">
        <v>91</v>
      </c>
      <c r="J85" s="193"/>
      <c r="K85" s="193"/>
      <c r="L85" s="243"/>
      <c r="M85" s="242">
        <f t="shared" si="8"/>
        <v>0</v>
      </c>
      <c r="N85" s="243">
        <f t="shared" si="9"/>
        <v>0</v>
      </c>
      <c r="O85" s="193"/>
      <c r="P85" s="243"/>
      <c r="Q85" s="193"/>
      <c r="R85" s="243"/>
      <c r="S85" s="193"/>
      <c r="T85" s="243"/>
      <c r="U85" s="203" t="s">
        <v>183</v>
      </c>
      <c r="V85" s="115">
        <v>1418</v>
      </c>
      <c r="W85" s="114">
        <v>43312</v>
      </c>
      <c r="X85" s="193" t="s">
        <v>184</v>
      </c>
      <c r="Y85" s="200">
        <v>43332</v>
      </c>
      <c r="Z85" s="193" t="s">
        <v>185</v>
      </c>
      <c r="AA85" s="200">
        <v>43320</v>
      </c>
      <c r="AB85" s="22">
        <v>0</v>
      </c>
      <c r="AC85" s="170">
        <v>0</v>
      </c>
      <c r="AD85" s="209">
        <v>76</v>
      </c>
      <c r="AE85" s="194">
        <v>1130.8800000000001</v>
      </c>
      <c r="AF85" s="209"/>
      <c r="AG85" s="194"/>
      <c r="AH85" s="209"/>
      <c r="AI85" s="194"/>
      <c r="AJ85" s="233">
        <f t="shared" si="6"/>
        <v>76</v>
      </c>
      <c r="AK85" s="170">
        <f t="shared" si="6"/>
        <v>1130.8800000000001</v>
      </c>
      <c r="AL85" s="272">
        <v>0</v>
      </c>
      <c r="AM85" s="212">
        <v>0</v>
      </c>
      <c r="AN85" s="269">
        <v>76</v>
      </c>
      <c r="AO85" s="217">
        <v>0</v>
      </c>
      <c r="AP85" s="232"/>
      <c r="AQ85" s="229"/>
      <c r="AR85" s="212">
        <v>14.88</v>
      </c>
      <c r="AS85" s="212">
        <f t="shared" si="3"/>
        <v>0</v>
      </c>
      <c r="AT85" s="227">
        <v>76</v>
      </c>
      <c r="AU85" s="228">
        <f t="shared" si="4"/>
        <v>1130.8800000000001</v>
      </c>
      <c r="AV85" s="406">
        <f t="shared" si="11"/>
        <v>76</v>
      </c>
    </row>
    <row r="86" spans="1:48" s="62" customFormat="1" ht="31.5">
      <c r="A86" s="59"/>
      <c r="B86" s="60"/>
      <c r="C86" s="427"/>
      <c r="D86" s="428"/>
      <c r="E86" s="79"/>
      <c r="F86" s="150" t="s">
        <v>57</v>
      </c>
      <c r="G86" s="222" t="s">
        <v>121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/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3">
        <v>45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27">
        <v>45</v>
      </c>
      <c r="AU86" s="228"/>
      <c r="AV86" s="406">
        <v>45</v>
      </c>
    </row>
    <row r="87" spans="1:48" s="62" customFormat="1" ht="26.25" customHeight="1">
      <c r="A87" s="59"/>
      <c r="B87" s="60"/>
      <c r="C87" s="60"/>
      <c r="D87" s="22">
        <v>68</v>
      </c>
      <c r="E87" s="79" t="s">
        <v>24</v>
      </c>
      <c r="F87" s="178" t="s">
        <v>58</v>
      </c>
      <c r="G87" s="222" t="s">
        <v>123</v>
      </c>
      <c r="H87" s="193" t="s">
        <v>91</v>
      </c>
      <c r="I87" s="193" t="s">
        <v>91</v>
      </c>
      <c r="J87" s="193">
        <v>5</v>
      </c>
      <c r="K87" s="193">
        <v>5</v>
      </c>
      <c r="L87" s="243">
        <v>2899.28</v>
      </c>
      <c r="M87" s="242">
        <f>J87*K87</f>
        <v>25</v>
      </c>
      <c r="N87" s="243">
        <f t="shared" si="9"/>
        <v>72482</v>
      </c>
      <c r="O87" s="193">
        <v>4</v>
      </c>
      <c r="P87" s="243">
        <v>8377.6</v>
      </c>
      <c r="Q87" s="193"/>
      <c r="R87" s="243"/>
      <c r="S87" s="193"/>
      <c r="T87" s="243"/>
      <c r="U87" s="203" t="s">
        <v>122</v>
      </c>
      <c r="V87" s="115">
        <v>1745</v>
      </c>
      <c r="W87" s="114">
        <v>43096</v>
      </c>
      <c r="X87" s="193" t="s">
        <v>117</v>
      </c>
      <c r="Y87" s="200">
        <v>43109</v>
      </c>
      <c r="Z87" s="193" t="s">
        <v>118</v>
      </c>
      <c r="AA87" s="200">
        <v>43133</v>
      </c>
      <c r="AB87" s="22">
        <v>0</v>
      </c>
      <c r="AC87" s="170">
        <v>0</v>
      </c>
      <c r="AD87" s="209">
        <v>4</v>
      </c>
      <c r="AE87" s="194">
        <v>9062.24</v>
      </c>
      <c r="AF87" s="209"/>
      <c r="AG87" s="194"/>
      <c r="AH87" s="209"/>
      <c r="AI87" s="194"/>
      <c r="AJ87" s="233">
        <f t="shared" si="6"/>
        <v>4</v>
      </c>
      <c r="AK87" s="170">
        <f t="shared" si="6"/>
        <v>9062.24</v>
      </c>
      <c r="AL87" s="272">
        <v>0</v>
      </c>
      <c r="AM87" s="212">
        <v>0</v>
      </c>
      <c r="AN87" s="269">
        <v>4</v>
      </c>
      <c r="AO87" s="217">
        <f t="shared" ref="AO87:AO94" si="12">AC87+AK87-AM87</f>
        <v>9062.24</v>
      </c>
      <c r="AP87" s="232"/>
      <c r="AQ87" s="229"/>
      <c r="AR87" s="212">
        <v>2265.56</v>
      </c>
      <c r="AS87" s="212">
        <f t="shared" si="3"/>
        <v>0</v>
      </c>
      <c r="AT87" s="227">
        <v>4</v>
      </c>
      <c r="AU87" s="228">
        <f t="shared" si="4"/>
        <v>9062.24</v>
      </c>
      <c r="AV87" s="406">
        <f t="shared" si="11"/>
        <v>4</v>
      </c>
    </row>
    <row r="88" spans="1:48" s="62" customFormat="1" ht="26.25" customHeight="1">
      <c r="A88" s="59"/>
      <c r="B88" s="60"/>
      <c r="C88" s="60"/>
      <c r="D88" s="22">
        <v>69</v>
      </c>
      <c r="E88" s="79" t="s">
        <v>24</v>
      </c>
      <c r="F88" s="178" t="s">
        <v>58</v>
      </c>
      <c r="G88" s="222" t="s">
        <v>123</v>
      </c>
      <c r="H88" s="193" t="s">
        <v>91</v>
      </c>
      <c r="I88" s="193" t="s">
        <v>91</v>
      </c>
      <c r="J88" s="193"/>
      <c r="K88" s="193"/>
      <c r="L88" s="243"/>
      <c r="M88" s="242">
        <f t="shared" ref="M88:M94" si="13">J88*K88</f>
        <v>0</v>
      </c>
      <c r="N88" s="243">
        <f>L88*M88</f>
        <v>0</v>
      </c>
      <c r="O88" s="193"/>
      <c r="P88" s="243"/>
      <c r="Q88" s="193"/>
      <c r="R88" s="243"/>
      <c r="S88" s="193"/>
      <c r="T88" s="243"/>
      <c r="U88" s="203" t="s">
        <v>170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2</v>
      </c>
      <c r="AE88" s="194">
        <v>4531.12</v>
      </c>
      <c r="AF88" s="209"/>
      <c r="AG88" s="194"/>
      <c r="AH88" s="209"/>
      <c r="AI88" s="194"/>
      <c r="AJ88" s="233">
        <f t="shared" si="6"/>
        <v>2</v>
      </c>
      <c r="AK88" s="170">
        <f t="shared" si="6"/>
        <v>4531.12</v>
      </c>
      <c r="AL88" s="272">
        <v>0</v>
      </c>
      <c r="AM88" s="212">
        <v>0</v>
      </c>
      <c r="AN88" s="269">
        <v>2</v>
      </c>
      <c r="AO88" s="217">
        <f t="shared" si="12"/>
        <v>4531.12</v>
      </c>
      <c r="AP88" s="232"/>
      <c r="AQ88" s="229"/>
      <c r="AR88" s="212">
        <v>2265.56</v>
      </c>
      <c r="AS88" s="212">
        <f t="shared" ref="AS88:AS94" si="14">AQ88*AR88</f>
        <v>0</v>
      </c>
      <c r="AT88" s="227">
        <v>2</v>
      </c>
      <c r="AU88" s="228">
        <f t="shared" ref="AU88:AU94" si="15">AT88*AR88</f>
        <v>4531.12</v>
      </c>
      <c r="AV88" s="406">
        <f t="shared" si="11"/>
        <v>2</v>
      </c>
    </row>
    <row r="89" spans="1:48" s="62" customFormat="1" ht="26.25" customHeight="1">
      <c r="A89" s="59"/>
      <c r="B89" s="60"/>
      <c r="C89" s="60"/>
      <c r="D89" s="22">
        <v>70</v>
      </c>
      <c r="E89" s="79" t="s">
        <v>24</v>
      </c>
      <c r="F89" s="82" t="s">
        <v>61</v>
      </c>
      <c r="G89" s="222" t="s">
        <v>127</v>
      </c>
      <c r="H89" s="193" t="s">
        <v>91</v>
      </c>
      <c r="I89" s="193" t="s">
        <v>91</v>
      </c>
      <c r="J89" s="193">
        <v>48</v>
      </c>
      <c r="K89" s="193">
        <v>3</v>
      </c>
      <c r="L89" s="243">
        <v>71.97</v>
      </c>
      <c r="M89" s="242">
        <f t="shared" si="13"/>
        <v>144</v>
      </c>
      <c r="N89" s="243">
        <f t="shared" ref="N89:N94" si="16">L89*M89</f>
        <v>10363.68</v>
      </c>
      <c r="O89" s="193">
        <v>14</v>
      </c>
      <c r="P89" s="243">
        <v>714.98</v>
      </c>
      <c r="Q89" s="193"/>
      <c r="R89" s="243"/>
      <c r="S89" s="193"/>
      <c r="T89" s="243"/>
      <c r="U89" s="203" t="s">
        <v>128</v>
      </c>
      <c r="V89" s="115">
        <v>135</v>
      </c>
      <c r="W89" s="114">
        <v>42761</v>
      </c>
      <c r="X89" s="193" t="s">
        <v>126</v>
      </c>
      <c r="Y89" s="200">
        <v>43130</v>
      </c>
      <c r="Z89" s="193"/>
      <c r="AA89" s="193"/>
      <c r="AB89" s="22">
        <v>0</v>
      </c>
      <c r="AC89" s="170">
        <v>0</v>
      </c>
      <c r="AD89" s="209">
        <v>14</v>
      </c>
      <c r="AE89" s="194">
        <v>774.48</v>
      </c>
      <c r="AF89" s="209"/>
      <c r="AG89" s="194"/>
      <c r="AH89" s="209"/>
      <c r="AI89" s="194"/>
      <c r="AJ89" s="233">
        <f t="shared" ref="AJ89:AK94" si="17">AD89+AF89+AH89</f>
        <v>14</v>
      </c>
      <c r="AK89" s="170">
        <f t="shared" si="17"/>
        <v>774.48</v>
      </c>
      <c r="AL89" s="272">
        <v>0</v>
      </c>
      <c r="AM89" s="212">
        <v>0</v>
      </c>
      <c r="AN89" s="269">
        <v>14</v>
      </c>
      <c r="AO89" s="217">
        <f t="shared" si="12"/>
        <v>774.48</v>
      </c>
      <c r="AP89" s="232"/>
      <c r="AQ89" s="229"/>
      <c r="AR89" s="212">
        <v>55.32</v>
      </c>
      <c r="AS89" s="212">
        <f t="shared" si="14"/>
        <v>0</v>
      </c>
      <c r="AT89" s="227">
        <f>14-2</f>
        <v>12</v>
      </c>
      <c r="AU89" s="228">
        <f t="shared" si="15"/>
        <v>663.84</v>
      </c>
      <c r="AV89" s="406">
        <f t="shared" si="11"/>
        <v>12</v>
      </c>
    </row>
    <row r="90" spans="1:48" s="62" customFormat="1" ht="26.25" customHeight="1">
      <c r="A90" s="59"/>
      <c r="B90" s="60"/>
      <c r="C90" s="60"/>
      <c r="D90" s="22">
        <v>71</v>
      </c>
      <c r="E90" s="79" t="s">
        <v>24</v>
      </c>
      <c r="F90" s="82" t="s">
        <v>61</v>
      </c>
      <c r="G90" s="222" t="s">
        <v>127</v>
      </c>
      <c r="H90" s="193" t="s">
        <v>91</v>
      </c>
      <c r="I90" s="193" t="s">
        <v>91</v>
      </c>
      <c r="J90" s="193"/>
      <c r="K90" s="193"/>
      <c r="L90" s="243"/>
      <c r="M90" s="242">
        <f t="shared" si="13"/>
        <v>0</v>
      </c>
      <c r="N90" s="243">
        <f t="shared" si="16"/>
        <v>0</v>
      </c>
      <c r="O90" s="193"/>
      <c r="P90" s="243"/>
      <c r="Q90" s="193"/>
      <c r="R90" s="243"/>
      <c r="S90" s="193"/>
      <c r="T90" s="243"/>
      <c r="U90" s="203" t="s">
        <v>171</v>
      </c>
      <c r="V90" s="115">
        <v>834</v>
      </c>
      <c r="W90" s="114">
        <v>43222</v>
      </c>
      <c r="X90" s="193" t="s">
        <v>162</v>
      </c>
      <c r="Y90" s="200">
        <v>43242</v>
      </c>
      <c r="Z90" s="193"/>
      <c r="AA90" s="193"/>
      <c r="AB90" s="22">
        <v>0</v>
      </c>
      <c r="AC90" s="170">
        <v>0</v>
      </c>
      <c r="AD90" s="209">
        <v>26</v>
      </c>
      <c r="AE90" s="194">
        <v>1438.32</v>
      </c>
      <c r="AF90" s="209"/>
      <c r="AG90" s="194"/>
      <c r="AH90" s="209"/>
      <c r="AI90" s="194"/>
      <c r="AJ90" s="233">
        <f t="shared" si="17"/>
        <v>26</v>
      </c>
      <c r="AK90" s="170">
        <f t="shared" si="17"/>
        <v>1438.32</v>
      </c>
      <c r="AL90" s="272">
        <v>0</v>
      </c>
      <c r="AM90" s="212">
        <v>0</v>
      </c>
      <c r="AN90" s="269">
        <v>26</v>
      </c>
      <c r="AO90" s="217">
        <f t="shared" si="12"/>
        <v>1438.32</v>
      </c>
      <c r="AP90" s="232"/>
      <c r="AQ90" s="229"/>
      <c r="AR90" s="212">
        <v>55.32</v>
      </c>
      <c r="AS90" s="212">
        <f t="shared" si="14"/>
        <v>0</v>
      </c>
      <c r="AT90" s="227">
        <v>26</v>
      </c>
      <c r="AU90" s="228">
        <f t="shared" si="15"/>
        <v>1438.32</v>
      </c>
      <c r="AV90" s="406">
        <f t="shared" si="11"/>
        <v>26</v>
      </c>
    </row>
    <row r="91" spans="1:48" s="62" customFormat="1" ht="26.25" customHeight="1">
      <c r="A91" s="59"/>
      <c r="B91" s="60"/>
      <c r="C91" s="60"/>
      <c r="D91" s="22">
        <v>72</v>
      </c>
      <c r="E91" s="79" t="s">
        <v>24</v>
      </c>
      <c r="F91" s="179" t="s">
        <v>62</v>
      </c>
      <c r="G91" s="222" t="s">
        <v>129</v>
      </c>
      <c r="H91" s="193" t="s">
        <v>91</v>
      </c>
      <c r="I91" s="193" t="s">
        <v>91</v>
      </c>
      <c r="J91" s="193">
        <v>24</v>
      </c>
      <c r="K91" s="193">
        <v>4</v>
      </c>
      <c r="L91" s="243">
        <v>984.1</v>
      </c>
      <c r="M91" s="242">
        <f t="shared" si="13"/>
        <v>96</v>
      </c>
      <c r="N91" s="243">
        <f t="shared" si="16"/>
        <v>94473.600000000006</v>
      </c>
      <c r="O91" s="193">
        <v>6</v>
      </c>
      <c r="P91" s="243">
        <v>4721.3999999999996</v>
      </c>
      <c r="Q91" s="193"/>
      <c r="R91" s="243"/>
      <c r="S91" s="193"/>
      <c r="T91" s="243"/>
      <c r="U91" s="203" t="s">
        <v>130</v>
      </c>
      <c r="V91" s="115">
        <v>135</v>
      </c>
      <c r="W91" s="114">
        <v>42761</v>
      </c>
      <c r="X91" s="193" t="s">
        <v>126</v>
      </c>
      <c r="Y91" s="200">
        <v>43130</v>
      </c>
      <c r="Z91" s="193"/>
      <c r="AA91" s="193"/>
      <c r="AB91" s="22">
        <v>0</v>
      </c>
      <c r="AC91" s="170">
        <v>0</v>
      </c>
      <c r="AD91" s="209">
        <v>6</v>
      </c>
      <c r="AE91" s="194">
        <v>4549.08</v>
      </c>
      <c r="AF91" s="209"/>
      <c r="AG91" s="194"/>
      <c r="AH91" s="209"/>
      <c r="AI91" s="194"/>
      <c r="AJ91" s="233">
        <f t="shared" si="17"/>
        <v>6</v>
      </c>
      <c r="AK91" s="170">
        <f t="shared" si="17"/>
        <v>4549.08</v>
      </c>
      <c r="AL91" s="272">
        <v>0</v>
      </c>
      <c r="AM91" s="212">
        <v>0</v>
      </c>
      <c r="AN91" s="269">
        <v>6</v>
      </c>
      <c r="AO91" s="217">
        <f t="shared" si="12"/>
        <v>4549.08</v>
      </c>
      <c r="AP91" s="232"/>
      <c r="AQ91" s="229"/>
      <c r="AR91" s="212">
        <v>758.18</v>
      </c>
      <c r="AS91" s="212">
        <f t="shared" si="14"/>
        <v>0</v>
      </c>
      <c r="AT91" s="227">
        <v>6</v>
      </c>
      <c r="AU91" s="228">
        <f t="shared" si="15"/>
        <v>4549.08</v>
      </c>
      <c r="AV91" s="406">
        <f t="shared" si="11"/>
        <v>6</v>
      </c>
    </row>
    <row r="92" spans="1:48" s="62" customFormat="1" ht="26.25" customHeight="1">
      <c r="A92" s="59"/>
      <c r="B92" s="60"/>
      <c r="C92" s="60"/>
      <c r="D92" s="22">
        <v>73</v>
      </c>
      <c r="E92" s="79" t="s">
        <v>24</v>
      </c>
      <c r="F92" s="179" t="s">
        <v>62</v>
      </c>
      <c r="G92" s="222" t="s">
        <v>129</v>
      </c>
      <c r="H92" s="193" t="s">
        <v>91</v>
      </c>
      <c r="I92" s="193" t="s">
        <v>91</v>
      </c>
      <c r="J92" s="193"/>
      <c r="K92" s="193"/>
      <c r="L92" s="243"/>
      <c r="M92" s="242">
        <f t="shared" si="13"/>
        <v>0</v>
      </c>
      <c r="N92" s="243">
        <f t="shared" si="16"/>
        <v>0</v>
      </c>
      <c r="O92" s="193"/>
      <c r="P92" s="243"/>
      <c r="Q92" s="193"/>
      <c r="R92" s="243"/>
      <c r="S92" s="193"/>
      <c r="T92" s="243"/>
      <c r="U92" s="203" t="s">
        <v>172</v>
      </c>
      <c r="V92" s="115">
        <v>834</v>
      </c>
      <c r="W92" s="114">
        <v>43222</v>
      </c>
      <c r="X92" s="193" t="s">
        <v>162</v>
      </c>
      <c r="Y92" s="200">
        <v>43242</v>
      </c>
      <c r="Z92" s="193"/>
      <c r="AA92" s="193"/>
      <c r="AB92" s="22">
        <v>0</v>
      </c>
      <c r="AC92" s="170">
        <v>0</v>
      </c>
      <c r="AD92" s="209">
        <v>10</v>
      </c>
      <c r="AE92" s="194">
        <v>7581.8</v>
      </c>
      <c r="AF92" s="209"/>
      <c r="AG92" s="194"/>
      <c r="AH92" s="209"/>
      <c r="AI92" s="194"/>
      <c r="AJ92" s="233">
        <f t="shared" si="17"/>
        <v>10</v>
      </c>
      <c r="AK92" s="170">
        <f t="shared" si="17"/>
        <v>7581.8</v>
      </c>
      <c r="AL92" s="272">
        <v>0</v>
      </c>
      <c r="AM92" s="212">
        <v>0</v>
      </c>
      <c r="AN92" s="269">
        <v>10</v>
      </c>
      <c r="AO92" s="217">
        <f t="shared" si="12"/>
        <v>7581.8</v>
      </c>
      <c r="AP92" s="232"/>
      <c r="AQ92" s="229"/>
      <c r="AR92" s="212">
        <v>758.18</v>
      </c>
      <c r="AS92" s="212">
        <f t="shared" si="14"/>
        <v>0</v>
      </c>
      <c r="AT92" s="227">
        <v>10</v>
      </c>
      <c r="AU92" s="228">
        <f t="shared" si="15"/>
        <v>7581.7999999999993</v>
      </c>
      <c r="AV92" s="406">
        <f t="shared" si="11"/>
        <v>10</v>
      </c>
    </row>
    <row r="93" spans="1:48" s="62" customFormat="1" ht="26.25" customHeight="1">
      <c r="A93" s="59"/>
      <c r="B93" s="60"/>
      <c r="C93" s="427"/>
      <c r="D93" s="428"/>
      <c r="E93" s="79"/>
      <c r="F93" s="179" t="s">
        <v>62</v>
      </c>
      <c r="G93" s="222" t="s">
        <v>129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/>
      <c r="V93" s="115"/>
      <c r="W93" s="114"/>
      <c r="X93" s="193"/>
      <c r="Y93" s="200"/>
      <c r="Z93" s="193"/>
      <c r="AA93" s="193"/>
      <c r="AB93" s="22"/>
      <c r="AC93" s="170"/>
      <c r="AD93" s="209"/>
      <c r="AE93" s="194"/>
      <c r="AF93" s="209"/>
      <c r="AG93" s="194"/>
      <c r="AH93" s="209"/>
      <c r="AI93" s="194"/>
      <c r="AJ93" s="233">
        <v>4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27">
        <v>4</v>
      </c>
      <c r="AU93" s="228"/>
      <c r="AV93" s="406">
        <v>4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91" t="s">
        <v>66</v>
      </c>
      <c r="G94" s="222" t="s">
        <v>135</v>
      </c>
      <c r="H94" s="193" t="s">
        <v>91</v>
      </c>
      <c r="I94" s="193" t="s">
        <v>91</v>
      </c>
      <c r="J94" s="193">
        <v>4</v>
      </c>
      <c r="K94" s="193">
        <v>4</v>
      </c>
      <c r="L94" s="243">
        <v>2051.94</v>
      </c>
      <c r="M94" s="242">
        <f t="shared" si="13"/>
        <v>16</v>
      </c>
      <c r="N94" s="243">
        <f t="shared" si="16"/>
        <v>32831.040000000001</v>
      </c>
      <c r="O94" s="193">
        <v>4</v>
      </c>
      <c r="P94" s="243">
        <v>4104.6400000000003</v>
      </c>
      <c r="Q94" s="193"/>
      <c r="R94" s="243"/>
      <c r="S94" s="193"/>
      <c r="T94" s="243"/>
      <c r="U94" s="203">
        <v>1633600163</v>
      </c>
      <c r="V94" s="115">
        <v>260</v>
      </c>
      <c r="W94" s="114">
        <v>43145</v>
      </c>
      <c r="X94" s="193" t="s">
        <v>94</v>
      </c>
      <c r="Y94" s="200">
        <v>43164</v>
      </c>
      <c r="Z94" s="193"/>
      <c r="AA94" s="193"/>
      <c r="AB94" s="22">
        <v>0</v>
      </c>
      <c r="AC94" s="170">
        <v>0</v>
      </c>
      <c r="AD94" s="209">
        <v>2</v>
      </c>
      <c r="AE94" s="194">
        <f>2020.4+2020.4</f>
        <v>4040.8</v>
      </c>
      <c r="AF94" s="209"/>
      <c r="AG94" s="194"/>
      <c r="AH94" s="209"/>
      <c r="AI94" s="194"/>
      <c r="AJ94" s="233">
        <f t="shared" si="17"/>
        <v>2</v>
      </c>
      <c r="AK94" s="170">
        <f t="shared" si="17"/>
        <v>4040.8</v>
      </c>
      <c r="AL94" s="272">
        <v>0</v>
      </c>
      <c r="AM94" s="212">
        <v>0</v>
      </c>
      <c r="AN94" s="269">
        <v>2</v>
      </c>
      <c r="AO94" s="217">
        <f t="shared" si="12"/>
        <v>4040.8</v>
      </c>
      <c r="AP94" s="232"/>
      <c r="AQ94" s="229"/>
      <c r="AR94" s="212">
        <v>2020.4</v>
      </c>
      <c r="AS94" s="212">
        <f t="shared" si="14"/>
        <v>0</v>
      </c>
      <c r="AT94" s="227">
        <v>2</v>
      </c>
      <c r="AU94" s="228">
        <f t="shared" si="15"/>
        <v>4040.8</v>
      </c>
      <c r="AV94" s="406">
        <f t="shared" si="11"/>
        <v>2</v>
      </c>
    </row>
    <row r="95" spans="1:48" s="251" customFormat="1" ht="21" customHeight="1">
      <c r="A95" s="20" t="s">
        <v>11</v>
      </c>
      <c r="B95" s="20"/>
      <c r="C95" s="20"/>
      <c r="D95" s="695" t="s">
        <v>34</v>
      </c>
      <c r="E95" s="696"/>
      <c r="F95" s="697"/>
      <c r="G95" s="246"/>
      <c r="H95" s="246"/>
      <c r="I95" s="246"/>
      <c r="J95" s="246"/>
      <c r="K95" s="247">
        <f>SUM(K17:K94)</f>
        <v>34</v>
      </c>
      <c r="L95" s="248"/>
      <c r="M95" s="246"/>
      <c r="N95" s="249">
        <f>SUM(N17:N94)</f>
        <v>3452363.2</v>
      </c>
      <c r="O95" s="248"/>
      <c r="P95" s="249">
        <f t="shared" ref="P95:T95" si="18">SUM(P17:P94)</f>
        <v>1903757.27</v>
      </c>
      <c r="Q95" s="248"/>
      <c r="R95" s="249">
        <f t="shared" si="18"/>
        <v>1395649.94</v>
      </c>
      <c r="S95" s="248"/>
      <c r="T95" s="249">
        <f t="shared" si="18"/>
        <v>1083638.72</v>
      </c>
      <c r="U95" s="291" t="s">
        <v>156</v>
      </c>
      <c r="V95" s="291" t="s">
        <v>156</v>
      </c>
      <c r="W95" s="291" t="s">
        <v>156</v>
      </c>
      <c r="X95" s="250" t="s">
        <v>156</v>
      </c>
      <c r="Y95" s="250" t="s">
        <v>156</v>
      </c>
      <c r="Z95" s="250" t="s">
        <v>156</v>
      </c>
      <c r="AA95" s="250" t="s">
        <v>156</v>
      </c>
      <c r="AB95" s="176">
        <f>SUM(AB17:AB40)</f>
        <v>1342</v>
      </c>
      <c r="AC95" s="171">
        <f>SUM(AC17:AC77)</f>
        <v>493758.06</v>
      </c>
      <c r="AD95" s="210">
        <f>SUM(AD17:AD94)</f>
        <v>13168</v>
      </c>
      <c r="AE95" s="195">
        <f t="shared" ref="AE95:AM95" si="19">SUM(AE17:AE94)</f>
        <v>1524549.46</v>
      </c>
      <c r="AF95" s="210">
        <f t="shared" si="19"/>
        <v>0</v>
      </c>
      <c r="AG95" s="195">
        <f t="shared" si="19"/>
        <v>0</v>
      </c>
      <c r="AH95" s="210">
        <f t="shared" si="19"/>
        <v>0</v>
      </c>
      <c r="AI95" s="195">
        <f t="shared" si="19"/>
        <v>0</v>
      </c>
      <c r="AJ95" s="230">
        <f t="shared" si="19"/>
        <v>13262</v>
      </c>
      <c r="AK95" s="175">
        <f>SUM(AK17:AK94)</f>
        <v>1524549.46</v>
      </c>
      <c r="AL95" s="213">
        <f t="shared" si="19"/>
        <v>2245</v>
      </c>
      <c r="AM95" s="214">
        <f t="shared" si="19"/>
        <v>504590.05000000005</v>
      </c>
      <c r="AN95" s="218">
        <f>SUM(AN17:AN94)</f>
        <v>12265</v>
      </c>
      <c r="AO95" s="219">
        <f>SUM(AO17:AO94)</f>
        <v>1495993.66</v>
      </c>
      <c r="AP95" s="286">
        <f>SUM(AP17:AP94)</f>
        <v>0</v>
      </c>
      <c r="AQ95" s="287">
        <f>SUM(AQ17:AQ94)</f>
        <v>0</v>
      </c>
      <c r="AR95" s="226" t="s">
        <v>156</v>
      </c>
      <c r="AS95" s="226">
        <f>SUM(AS17:AS94)</f>
        <v>0</v>
      </c>
      <c r="AT95" s="227">
        <f>SUM(AT17:AT94)</f>
        <v>4875</v>
      </c>
      <c r="AU95" s="228">
        <f>SUM(AU17:AU94)</f>
        <v>1047295.0700000001</v>
      </c>
      <c r="AV95" s="236">
        <f>SUM(AV17:AV94)</f>
        <v>4875</v>
      </c>
    </row>
    <row r="96" spans="1:48" s="336" customFormat="1" ht="2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29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336" customFormat="1" ht="21" hidden="1" customHeight="1">
      <c r="A97" s="20"/>
      <c r="B97" s="20"/>
      <c r="C97" s="20"/>
      <c r="D97" s="294"/>
      <c r="E97" s="294"/>
      <c r="F97" s="294"/>
      <c r="G97" s="330"/>
      <c r="H97" s="330"/>
      <c r="I97" s="330"/>
      <c r="J97" s="330"/>
      <c r="K97" s="331"/>
      <c r="L97" s="332"/>
      <c r="M97" s="330"/>
      <c r="N97" s="333"/>
      <c r="O97" s="332"/>
      <c r="P97" s="333"/>
      <c r="Q97" s="332"/>
      <c r="R97" s="333"/>
      <c r="S97" s="332"/>
      <c r="T97" s="333"/>
      <c r="U97" s="295"/>
      <c r="V97" s="295"/>
      <c r="W97" s="295"/>
      <c r="X97" s="295"/>
      <c r="Y97" s="295"/>
      <c r="Z97" s="295"/>
      <c r="AA97" s="295"/>
      <c r="AB97" s="296"/>
      <c r="AC97" s="297"/>
      <c r="AD97" s="296"/>
      <c r="AE97" s="297"/>
      <c r="AF97" s="296"/>
      <c r="AG97" s="297"/>
      <c r="AH97" s="296"/>
      <c r="AI97" s="297"/>
      <c r="AJ97" s="298"/>
      <c r="AK97" s="299"/>
      <c r="AL97" s="334"/>
      <c r="AM97" s="297"/>
      <c r="AN97" s="296"/>
      <c r="AO97" s="297"/>
      <c r="AP97" s="298"/>
      <c r="AQ97" s="335"/>
      <c r="AR97" s="333"/>
      <c r="AS97" s="333"/>
      <c r="AT97" s="331"/>
      <c r="AU97" s="333"/>
      <c r="AV97" s="331"/>
    </row>
    <row r="98" spans="1:48" s="292" customFormat="1" ht="20.25" hidden="1">
      <c r="A98" s="301"/>
      <c r="B98" s="301"/>
      <c r="C98" s="301"/>
      <c r="D98" s="302"/>
      <c r="E98" s="301"/>
      <c r="F98" s="303" t="s">
        <v>205</v>
      </c>
      <c r="G98" s="303"/>
      <c r="H98" s="303" t="s">
        <v>208</v>
      </c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 t="s">
        <v>208</v>
      </c>
      <c r="AB98" s="303"/>
      <c r="AC98" s="303"/>
      <c r="AD98" s="303"/>
      <c r="AE98" s="303"/>
      <c r="AF98" s="303"/>
      <c r="AG98" s="303"/>
      <c r="AH98" s="303"/>
      <c r="AI98" s="303"/>
      <c r="AJ98" s="301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301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20.25" hidden="1">
      <c r="A100" s="301"/>
      <c r="B100" s="301"/>
      <c r="C100" s="301"/>
      <c r="D100" s="302"/>
      <c r="E100" s="301"/>
      <c r="F100" s="303"/>
      <c r="G100" s="303"/>
      <c r="H100" s="303"/>
      <c r="I100" s="303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3"/>
      <c r="V100" s="303"/>
      <c r="X100" s="303"/>
      <c r="Y100" s="303"/>
      <c r="Z100" s="303"/>
      <c r="AA100" s="303"/>
      <c r="AB100" s="303"/>
      <c r="AC100" s="303"/>
      <c r="AD100" s="303"/>
      <c r="AE100" s="303"/>
      <c r="AF100" s="303"/>
      <c r="AG100" s="303"/>
      <c r="AH100" s="303"/>
      <c r="AI100" s="303"/>
      <c r="AJ100" s="301"/>
      <c r="AK100" s="303"/>
      <c r="AL100" s="301"/>
      <c r="AM100" s="30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5" hidden="1" customHeight="1">
      <c r="A101" s="309"/>
      <c r="B101" s="309"/>
      <c r="C101" s="309"/>
      <c r="D101" s="302"/>
      <c r="E101" s="309"/>
      <c r="F101" s="310"/>
      <c r="G101" s="310"/>
      <c r="H101" s="308"/>
      <c r="I101" s="308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8"/>
      <c r="V101" s="311"/>
      <c r="AA101" s="311"/>
      <c r="AJ101" s="293"/>
      <c r="AK101" s="312"/>
      <c r="AL101" s="309"/>
      <c r="AM101" s="31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18" hidden="1" customHeight="1">
      <c r="A102" s="314" t="s">
        <v>12</v>
      </c>
      <c r="B102" s="314"/>
      <c r="C102" s="314"/>
      <c r="D102" s="315"/>
      <c r="E102" s="314"/>
      <c r="F102" s="316" t="s">
        <v>206</v>
      </c>
      <c r="G102" s="316"/>
      <c r="H102" s="736" t="s">
        <v>209</v>
      </c>
      <c r="I102" s="736"/>
      <c r="J102" s="736"/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8"/>
      <c r="V102" s="319"/>
      <c r="X102" s="303"/>
      <c r="Y102" s="316"/>
      <c r="Z102" s="316"/>
      <c r="AA102" s="320" t="s">
        <v>209</v>
      </c>
      <c r="AB102" s="316"/>
      <c r="AC102" s="316"/>
      <c r="AD102" s="316"/>
      <c r="AE102" s="316"/>
      <c r="AF102" s="316"/>
      <c r="AG102" s="316"/>
      <c r="AH102" s="316"/>
      <c r="AI102" s="316"/>
      <c r="AJ102" s="314"/>
      <c r="AK102" s="316"/>
      <c r="AL102" s="314"/>
      <c r="AM102" s="316"/>
      <c r="AN102" s="314"/>
      <c r="AO102" s="321"/>
      <c r="AP102" s="307"/>
      <c r="AQ102" s="302"/>
      <c r="AR102" s="308"/>
      <c r="AS102" s="308"/>
      <c r="AT102" s="302"/>
      <c r="AU102" s="302"/>
      <c r="AV102" s="302"/>
    </row>
    <row r="103" spans="1:48" s="62" customFormat="1" ht="18.75" hidden="1">
      <c r="A103" s="11"/>
      <c r="B103" s="11"/>
      <c r="C103" s="11"/>
      <c r="D103" s="255"/>
      <c r="E103" s="11"/>
      <c r="F103" s="322"/>
      <c r="G103" s="322"/>
      <c r="H103" s="322"/>
      <c r="I103" s="322"/>
      <c r="J103" s="323"/>
      <c r="K103" s="323"/>
      <c r="L103" s="323"/>
      <c r="M103" s="323"/>
      <c r="N103" s="323"/>
      <c r="O103" s="323"/>
      <c r="P103" s="323"/>
      <c r="Q103" s="323"/>
      <c r="R103" s="323"/>
      <c r="S103" s="323"/>
      <c r="T103" s="323"/>
      <c r="U103" s="322"/>
      <c r="V103" s="322"/>
      <c r="W103" s="322"/>
      <c r="X103" s="322"/>
      <c r="Y103" s="322"/>
      <c r="Z103" s="322"/>
      <c r="AA103" s="322"/>
      <c r="AB103" s="322"/>
      <c r="AC103" s="322"/>
      <c r="AD103" s="322"/>
      <c r="AE103" s="322"/>
      <c r="AF103" s="322"/>
      <c r="AG103" s="322"/>
      <c r="AH103" s="322"/>
      <c r="AI103" s="322"/>
      <c r="AJ103" s="324"/>
      <c r="AK103" s="322"/>
      <c r="AL103" s="324"/>
      <c r="AM103" s="322"/>
      <c r="AN103" s="281"/>
      <c r="AO103" s="325"/>
      <c r="AP103" s="326"/>
      <c r="AQ103" s="425"/>
      <c r="AR103" s="255"/>
      <c r="AS103" s="255"/>
      <c r="AT103" s="425"/>
      <c r="AU103" s="425"/>
      <c r="AV103" s="425"/>
    </row>
    <row r="104" spans="1:48" s="103" customFormat="1" ht="57.75" hidden="1" customHeight="1">
      <c r="A104" s="11"/>
      <c r="B104" s="11"/>
      <c r="C104" s="11"/>
      <c r="D104" s="255"/>
      <c r="E104" s="720" t="s">
        <v>207</v>
      </c>
      <c r="F104" s="720"/>
      <c r="G104" s="327"/>
      <c r="H104" s="328"/>
      <c r="I104" s="328"/>
      <c r="J104" s="328"/>
      <c r="K104" s="328"/>
      <c r="L104" s="328"/>
      <c r="M104" s="328"/>
      <c r="N104" s="328"/>
      <c r="O104" s="328"/>
      <c r="P104" s="328"/>
      <c r="Q104" s="328"/>
      <c r="R104" s="328"/>
      <c r="S104" s="328"/>
      <c r="T104" s="328"/>
      <c r="U104" s="328"/>
      <c r="V104" s="329"/>
      <c r="W104" s="329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281"/>
      <c r="AK104" s="11"/>
      <c r="AL104" s="281"/>
      <c r="AM104" s="11"/>
      <c r="AN104" s="281"/>
      <c r="AP104" s="326"/>
      <c r="AQ104" s="425"/>
      <c r="AR104" s="255"/>
      <c r="AS104" s="255"/>
      <c r="AT104" s="425"/>
      <c r="AU104" s="425"/>
      <c r="AV104" s="425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5:F95"/>
    <mergeCell ref="H102:J102"/>
    <mergeCell ref="U14:U16"/>
    <mergeCell ref="V14:W15"/>
    <mergeCell ref="O15:P15"/>
    <mergeCell ref="Q15:R15"/>
    <mergeCell ref="S15:T15"/>
    <mergeCell ref="E104:F104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56"/>
  <sheetViews>
    <sheetView view="pageBreakPreview" topLeftCell="C33" zoomScale="85" zoomScaleSheetLayoutView="85" workbookViewId="0">
      <selection activeCell="F40" sqref="F40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customWidth="1"/>
    <col min="14" max="14" width="15" customWidth="1"/>
    <col min="15" max="15" width="11.7109375" customWidth="1"/>
    <col min="16" max="16" width="15.5703125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</row>
    <row r="4" spans="1:16" s="1" customFormat="1">
      <c r="E4" s="15"/>
      <c r="F4" s="2"/>
      <c r="G4" s="105"/>
      <c r="J4" s="30"/>
      <c r="M4" s="30" t="s">
        <v>21</v>
      </c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50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31"/>
      <c r="N14" s="31"/>
      <c r="O14" s="31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1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29">
        <v>2</v>
      </c>
      <c r="F18" s="128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71">
        <v>169.84</v>
      </c>
      <c r="K19" s="70"/>
      <c r="L19" s="72"/>
      <c r="M19" s="70"/>
      <c r="N19" s="71"/>
      <c r="O19" s="70">
        <f t="shared" ref="O19:P31" si="0">I19+K19-M19</f>
        <v>6</v>
      </c>
      <c r="P19" s="71">
        <f t="shared" si="0"/>
        <v>169.84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53" t="s">
        <v>31</v>
      </c>
      <c r="G20" s="54">
        <v>42347</v>
      </c>
      <c r="H20" s="55">
        <v>833</v>
      </c>
      <c r="I20" s="56">
        <v>1</v>
      </c>
      <c r="J20" s="57">
        <v>1026.1600000000001</v>
      </c>
      <c r="K20" s="56"/>
      <c r="L20" s="58"/>
      <c r="M20" s="56"/>
      <c r="N20" s="57"/>
      <c r="O20" s="56">
        <f t="shared" si="0"/>
        <v>1</v>
      </c>
      <c r="P20" s="57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82" t="s">
        <v>31</v>
      </c>
      <c r="G21" s="83">
        <v>42647</v>
      </c>
      <c r="H21" s="84">
        <v>1034</v>
      </c>
      <c r="I21" s="85">
        <v>1</v>
      </c>
      <c r="J21" s="86">
        <v>1026.1600000000001</v>
      </c>
      <c r="K21" s="85"/>
      <c r="L21" s="87"/>
      <c r="M21" s="85"/>
      <c r="N21" s="86"/>
      <c r="O21" s="85">
        <f t="shared" si="0"/>
        <v>1</v>
      </c>
      <c r="P21" s="86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53" t="s">
        <v>29</v>
      </c>
      <c r="G22" s="54">
        <v>42347</v>
      </c>
      <c r="H22" s="55">
        <v>833</v>
      </c>
      <c r="I22" s="56">
        <v>1</v>
      </c>
      <c r="J22" s="57">
        <v>2094.4</v>
      </c>
      <c r="K22" s="56"/>
      <c r="L22" s="58"/>
      <c r="M22" s="56"/>
      <c r="N22" s="57"/>
      <c r="O22" s="56">
        <f t="shared" si="0"/>
        <v>1</v>
      </c>
      <c r="P22" s="57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82" t="s">
        <v>29</v>
      </c>
      <c r="G23" s="83">
        <v>42647</v>
      </c>
      <c r="H23" s="84">
        <v>1034</v>
      </c>
      <c r="I23" s="85">
        <v>1</v>
      </c>
      <c r="J23" s="86">
        <v>2094.4</v>
      </c>
      <c r="K23" s="85"/>
      <c r="L23" s="87"/>
      <c r="M23" s="85"/>
      <c r="N23" s="86"/>
      <c r="O23" s="85">
        <f t="shared" si="0"/>
        <v>1</v>
      </c>
      <c r="P23" s="86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53" t="s">
        <v>32</v>
      </c>
      <c r="G24" s="54">
        <v>42347</v>
      </c>
      <c r="H24" s="55">
        <v>833</v>
      </c>
      <c r="I24" s="56">
        <v>6</v>
      </c>
      <c r="J24" s="57">
        <v>4721.3999999999996</v>
      </c>
      <c r="K24" s="56"/>
      <c r="L24" s="58"/>
      <c r="M24" s="56"/>
      <c r="N24" s="57"/>
      <c r="O24" s="56">
        <f t="shared" si="0"/>
        <v>6</v>
      </c>
      <c r="P24" s="57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13" t="s">
        <v>40</v>
      </c>
      <c r="G25" s="114">
        <v>42976</v>
      </c>
      <c r="H25" s="115">
        <v>977</v>
      </c>
      <c r="I25" s="35">
        <v>4</v>
      </c>
      <c r="J25" s="77">
        <v>8081.6</v>
      </c>
      <c r="K25" s="35"/>
      <c r="L25" s="78"/>
      <c r="M25" s="35"/>
      <c r="N25" s="77"/>
      <c r="O25" s="35">
        <f t="shared" si="0"/>
        <v>4</v>
      </c>
      <c r="P25" s="77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51" t="s">
        <v>41</v>
      </c>
      <c r="G26" s="114">
        <v>43046</v>
      </c>
      <c r="H26" s="115">
        <v>1379</v>
      </c>
      <c r="I26" s="35">
        <v>180</v>
      </c>
      <c r="J26" s="77">
        <v>25070.400000000001</v>
      </c>
      <c r="K26" s="35"/>
      <c r="L26" s="78"/>
      <c r="M26" s="35"/>
      <c r="N26" s="77"/>
      <c r="O26" s="35">
        <f t="shared" si="0"/>
        <v>180</v>
      </c>
      <c r="P26" s="77">
        <f t="shared" si="0"/>
        <v>25070.400000000001</v>
      </c>
      <c r="Q26" s="61"/>
      <c r="R26" s="61"/>
    </row>
    <row r="27" spans="1:18" s="62" customFormat="1" ht="31.5">
      <c r="A27" s="59"/>
      <c r="B27" s="60"/>
      <c r="C27" s="60"/>
      <c r="D27" s="79" t="s">
        <v>24</v>
      </c>
      <c r="E27" s="75">
        <v>2301400</v>
      </c>
      <c r="F27" s="51" t="s">
        <v>53</v>
      </c>
      <c r="G27" s="114">
        <v>43046</v>
      </c>
      <c r="H27" s="115">
        <v>1379</v>
      </c>
      <c r="I27" s="35">
        <v>180</v>
      </c>
      <c r="J27" s="77">
        <v>94469.4</v>
      </c>
      <c r="K27" s="35"/>
      <c r="L27" s="78"/>
      <c r="M27" s="35"/>
      <c r="N27" s="77"/>
      <c r="O27" s="35">
        <f t="shared" si="0"/>
        <v>180</v>
      </c>
      <c r="P27" s="77">
        <f t="shared" si="0"/>
        <v>94469.4</v>
      </c>
      <c r="Q27" s="61"/>
      <c r="R27" s="61"/>
    </row>
    <row r="28" spans="1:18" s="62" customFormat="1" ht="26.25" customHeight="1">
      <c r="A28" s="59"/>
      <c r="B28" s="60"/>
      <c r="C28" s="60"/>
      <c r="D28" s="79" t="s">
        <v>24</v>
      </c>
      <c r="E28" s="75">
        <v>2301400</v>
      </c>
      <c r="F28" s="53" t="s">
        <v>44</v>
      </c>
      <c r="G28" s="114">
        <v>43066</v>
      </c>
      <c r="H28" s="115">
        <v>1476</v>
      </c>
      <c r="I28" s="35">
        <v>5</v>
      </c>
      <c r="J28" s="77">
        <v>1010.9</v>
      </c>
      <c r="K28" s="35"/>
      <c r="L28" s="78"/>
      <c r="M28" s="35"/>
      <c r="N28" s="77"/>
      <c r="O28" s="35">
        <f t="shared" si="0"/>
        <v>5</v>
      </c>
      <c r="P28" s="77">
        <f t="shared" si="0"/>
        <v>1010.9</v>
      </c>
      <c r="Q28" s="61"/>
      <c r="R28" s="61"/>
    </row>
    <row r="29" spans="1:18" s="62" customFormat="1" ht="26.25" customHeight="1">
      <c r="A29" s="59"/>
      <c r="B29" s="60"/>
      <c r="C29" s="60"/>
      <c r="D29" s="79" t="s">
        <v>24</v>
      </c>
      <c r="E29" s="75">
        <v>2301400</v>
      </c>
      <c r="F29" s="53" t="s">
        <v>44</v>
      </c>
      <c r="G29" s="114">
        <v>43061</v>
      </c>
      <c r="H29" s="115" t="s">
        <v>59</v>
      </c>
      <c r="I29" s="35">
        <v>205</v>
      </c>
      <c r="J29" s="77">
        <v>41446.9</v>
      </c>
      <c r="K29" s="35"/>
      <c r="L29" s="78"/>
      <c r="M29" s="35"/>
      <c r="N29" s="77"/>
      <c r="O29" s="35">
        <f t="shared" si="0"/>
        <v>205</v>
      </c>
      <c r="P29" s="77">
        <f t="shared" si="0"/>
        <v>41446.9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67" t="s">
        <v>55</v>
      </c>
      <c r="G30" s="114">
        <v>43046</v>
      </c>
      <c r="H30" s="115">
        <v>1379</v>
      </c>
      <c r="I30" s="35">
        <v>44</v>
      </c>
      <c r="J30" s="77">
        <v>13134</v>
      </c>
      <c r="K30" s="35"/>
      <c r="L30" s="78"/>
      <c r="M30" s="35"/>
      <c r="N30" s="77"/>
      <c r="O30" s="35">
        <f t="shared" si="0"/>
        <v>44</v>
      </c>
      <c r="P30" s="77">
        <f t="shared" si="0"/>
        <v>13134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67" t="s">
        <v>55</v>
      </c>
      <c r="G31" s="114">
        <v>43066</v>
      </c>
      <c r="H31" s="115">
        <v>1476</v>
      </c>
      <c r="I31" s="35">
        <v>6</v>
      </c>
      <c r="J31" s="77">
        <v>1791</v>
      </c>
      <c r="K31" s="35"/>
      <c r="L31" s="78"/>
      <c r="M31" s="35"/>
      <c r="N31" s="77"/>
      <c r="O31" s="35">
        <f t="shared" si="0"/>
        <v>6</v>
      </c>
      <c r="P31" s="77">
        <f t="shared" si="0"/>
        <v>1791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67" t="s">
        <v>55</v>
      </c>
      <c r="G32" s="114">
        <v>43061</v>
      </c>
      <c r="H32" s="115" t="s">
        <v>59</v>
      </c>
      <c r="I32" s="35">
        <v>36</v>
      </c>
      <c r="J32" s="77">
        <v>10746</v>
      </c>
      <c r="K32" s="35"/>
      <c r="L32" s="78"/>
      <c r="M32" s="35"/>
      <c r="N32" s="77"/>
      <c r="O32" s="35">
        <f t="shared" ref="O32:P47" si="1">I32+K32-M32</f>
        <v>36</v>
      </c>
      <c r="P32" s="77">
        <f t="shared" si="1"/>
        <v>10746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67" t="s">
        <v>55</v>
      </c>
      <c r="G33" s="114">
        <v>43061</v>
      </c>
      <c r="H33" s="115" t="s">
        <v>59</v>
      </c>
      <c r="I33" s="35">
        <v>86</v>
      </c>
      <c r="J33" s="77">
        <v>25671</v>
      </c>
      <c r="K33" s="35"/>
      <c r="L33" s="78"/>
      <c r="M33" s="35"/>
      <c r="N33" s="77"/>
      <c r="O33" s="35">
        <f t="shared" si="1"/>
        <v>86</v>
      </c>
      <c r="P33" s="77">
        <f t="shared" si="1"/>
        <v>25671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25" t="s">
        <v>56</v>
      </c>
      <c r="G34" s="114">
        <v>43046</v>
      </c>
      <c r="H34" s="115">
        <v>1379</v>
      </c>
      <c r="I34" s="35">
        <v>18</v>
      </c>
      <c r="J34" s="77">
        <v>5398.2</v>
      </c>
      <c r="K34" s="35"/>
      <c r="L34" s="78"/>
      <c r="M34" s="35"/>
      <c r="N34" s="77"/>
      <c r="O34" s="35">
        <f t="shared" si="1"/>
        <v>18</v>
      </c>
      <c r="P34" s="77">
        <f t="shared" si="1"/>
        <v>5398.2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25" t="s">
        <v>56</v>
      </c>
      <c r="G35" s="114">
        <v>43066</v>
      </c>
      <c r="H35" s="115">
        <v>1476</v>
      </c>
      <c r="I35" s="35">
        <v>162</v>
      </c>
      <c r="J35" s="77">
        <v>48583.8</v>
      </c>
      <c r="K35" s="35"/>
      <c r="L35" s="78"/>
      <c r="M35" s="35"/>
      <c r="N35" s="77"/>
      <c r="O35" s="35">
        <f t="shared" si="1"/>
        <v>162</v>
      </c>
      <c r="P35" s="77">
        <f t="shared" si="1"/>
        <v>48583.8</v>
      </c>
      <c r="Q35" s="61"/>
      <c r="R35" s="61"/>
    </row>
    <row r="36" spans="1:18" s="62" customFormat="1" ht="24" customHeight="1">
      <c r="A36" s="59"/>
      <c r="B36" s="60"/>
      <c r="C36" s="60"/>
      <c r="D36" s="79" t="s">
        <v>24</v>
      </c>
      <c r="E36" s="75">
        <v>2301400</v>
      </c>
      <c r="F36" s="53" t="s">
        <v>43</v>
      </c>
      <c r="G36" s="114">
        <v>43047</v>
      </c>
      <c r="H36" s="115">
        <v>1381</v>
      </c>
      <c r="I36" s="35">
        <v>40</v>
      </c>
      <c r="J36" s="77">
        <v>21408.799999999999</v>
      </c>
      <c r="K36" s="35"/>
      <c r="L36" s="78"/>
      <c r="M36" s="35"/>
      <c r="N36" s="77"/>
      <c r="O36" s="35">
        <f t="shared" si="1"/>
        <v>40</v>
      </c>
      <c r="P36" s="77">
        <f t="shared" si="1"/>
        <v>21408.799999999999</v>
      </c>
      <c r="Q36" s="61"/>
      <c r="R36" s="61"/>
    </row>
    <row r="37" spans="1:18" s="62" customFormat="1" ht="24" customHeight="1">
      <c r="A37" s="59"/>
      <c r="B37" s="60"/>
      <c r="C37" s="60"/>
      <c r="D37" s="79" t="s">
        <v>24</v>
      </c>
      <c r="E37" s="75">
        <v>2301400</v>
      </c>
      <c r="F37" s="53" t="s">
        <v>43</v>
      </c>
      <c r="G37" s="114">
        <v>43040</v>
      </c>
      <c r="H37" s="115">
        <v>1353</v>
      </c>
      <c r="I37" s="35">
        <v>210</v>
      </c>
      <c r="J37" s="77">
        <v>112396.2</v>
      </c>
      <c r="K37" s="35"/>
      <c r="L37" s="78"/>
      <c r="M37" s="35"/>
      <c r="N37" s="77"/>
      <c r="O37" s="35">
        <f t="shared" si="1"/>
        <v>210</v>
      </c>
      <c r="P37" s="77">
        <f t="shared" si="1"/>
        <v>112396.2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48</v>
      </c>
      <c r="G38" s="114">
        <v>43052</v>
      </c>
      <c r="H38" s="115">
        <v>1405</v>
      </c>
      <c r="I38" s="35">
        <v>120</v>
      </c>
      <c r="J38" s="77">
        <v>58734</v>
      </c>
      <c r="K38" s="35"/>
      <c r="L38" s="78"/>
      <c r="M38" s="35"/>
      <c r="N38" s="77"/>
      <c r="O38" s="35">
        <f t="shared" si="1"/>
        <v>120</v>
      </c>
      <c r="P38" s="77">
        <f t="shared" si="1"/>
        <v>58734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51" t="s">
        <v>48</v>
      </c>
      <c r="G39" s="114">
        <v>43066</v>
      </c>
      <c r="H39" s="115">
        <v>1476</v>
      </c>
      <c r="I39" s="35">
        <v>30</v>
      </c>
      <c r="J39" s="77">
        <v>14683.5</v>
      </c>
      <c r="K39" s="35"/>
      <c r="L39" s="78"/>
      <c r="M39" s="35"/>
      <c r="N39" s="77"/>
      <c r="O39" s="35">
        <f t="shared" si="1"/>
        <v>30</v>
      </c>
      <c r="P39" s="77">
        <f t="shared" si="1"/>
        <v>14683.5</v>
      </c>
      <c r="Q39" s="61"/>
      <c r="R39" s="61"/>
    </row>
    <row r="40" spans="1:18" s="134" customFormat="1" ht="27" customHeight="1">
      <c r="A40" s="131"/>
      <c r="B40" s="132"/>
      <c r="C40" s="60"/>
      <c r="D40" s="79" t="s">
        <v>24</v>
      </c>
      <c r="E40" s="75">
        <v>2301400</v>
      </c>
      <c r="F40" s="135" t="s">
        <v>44</v>
      </c>
      <c r="G40" s="114">
        <v>43082</v>
      </c>
      <c r="H40" s="115">
        <v>1583</v>
      </c>
      <c r="I40" s="22">
        <v>0</v>
      </c>
      <c r="J40" s="77">
        <v>0</v>
      </c>
      <c r="K40" s="35">
        <v>50</v>
      </c>
      <c r="L40" s="77">
        <v>10109</v>
      </c>
      <c r="M40" s="35">
        <v>0</v>
      </c>
      <c r="N40" s="77">
        <v>0</v>
      </c>
      <c r="O40" s="35">
        <f>I40+K40-M40</f>
        <v>50</v>
      </c>
      <c r="P40" s="77">
        <f>J40+L40-N40</f>
        <v>10109</v>
      </c>
      <c r="Q40" s="133"/>
      <c r="R40" s="133"/>
    </row>
    <row r="41" spans="1:18" s="139" customFormat="1" ht="27" customHeight="1">
      <c r="A41" s="136"/>
      <c r="B41" s="137"/>
      <c r="C41" s="60"/>
      <c r="D41" s="79" t="s">
        <v>24</v>
      </c>
      <c r="E41" s="75">
        <v>2301400</v>
      </c>
      <c r="F41" s="135" t="s">
        <v>54</v>
      </c>
      <c r="G41" s="114">
        <v>43096</v>
      </c>
      <c r="H41" s="115">
        <v>1745</v>
      </c>
      <c r="I41" s="22">
        <v>0</v>
      </c>
      <c r="J41" s="77">
        <v>0</v>
      </c>
      <c r="K41" s="35">
        <v>45</v>
      </c>
      <c r="L41" s="77">
        <v>9098.1</v>
      </c>
      <c r="M41" s="35">
        <v>0</v>
      </c>
      <c r="N41" s="77">
        <v>0</v>
      </c>
      <c r="O41" s="35">
        <f>I41+K41-M41</f>
        <v>45</v>
      </c>
      <c r="P41" s="77">
        <f>J41+L41-N41</f>
        <v>9098.1</v>
      </c>
      <c r="Q41" s="138"/>
      <c r="R41" s="138"/>
    </row>
    <row r="42" spans="1:18" s="134" customFormat="1" ht="27" customHeight="1">
      <c r="A42" s="131"/>
      <c r="B42" s="132"/>
      <c r="C42" s="60"/>
      <c r="D42" s="79" t="s">
        <v>24</v>
      </c>
      <c r="E42" s="75">
        <v>2301400</v>
      </c>
      <c r="F42" s="53" t="s">
        <v>52</v>
      </c>
      <c r="G42" s="114">
        <v>43087</v>
      </c>
      <c r="H42" s="115">
        <v>1625</v>
      </c>
      <c r="I42" s="22">
        <v>0</v>
      </c>
      <c r="J42" s="77">
        <v>0</v>
      </c>
      <c r="K42" s="35">
        <v>5</v>
      </c>
      <c r="L42" s="77">
        <v>1010.9</v>
      </c>
      <c r="M42" s="35">
        <v>0</v>
      </c>
      <c r="N42" s="77">
        <v>0</v>
      </c>
      <c r="O42" s="35">
        <f t="shared" si="1"/>
        <v>5</v>
      </c>
      <c r="P42" s="77">
        <f t="shared" si="1"/>
        <v>1010.9</v>
      </c>
      <c r="Q42" s="133"/>
      <c r="R42" s="133"/>
    </row>
    <row r="43" spans="1:18" s="134" customFormat="1" ht="27" customHeight="1">
      <c r="A43" s="131"/>
      <c r="B43" s="132"/>
      <c r="C43" s="60"/>
      <c r="D43" s="79" t="s">
        <v>24</v>
      </c>
      <c r="E43" s="75">
        <v>2301400</v>
      </c>
      <c r="F43" s="53" t="s">
        <v>52</v>
      </c>
      <c r="G43" s="114">
        <v>43082</v>
      </c>
      <c r="H43" s="115">
        <v>1583</v>
      </c>
      <c r="I43" s="22">
        <v>0</v>
      </c>
      <c r="J43" s="77">
        <v>0</v>
      </c>
      <c r="K43" s="35">
        <v>490</v>
      </c>
      <c r="L43" s="77">
        <v>99068.2</v>
      </c>
      <c r="M43" s="35">
        <v>0</v>
      </c>
      <c r="N43" s="77">
        <v>0</v>
      </c>
      <c r="O43" s="35">
        <f t="shared" si="1"/>
        <v>490</v>
      </c>
      <c r="P43" s="77">
        <f t="shared" si="1"/>
        <v>99068.2</v>
      </c>
      <c r="Q43" s="133"/>
      <c r="R43" s="133"/>
    </row>
    <row r="44" spans="1:18" s="139" customFormat="1" ht="27" customHeight="1">
      <c r="A44" s="136"/>
      <c r="B44" s="137"/>
      <c r="C44" s="60"/>
      <c r="D44" s="79" t="s">
        <v>24</v>
      </c>
      <c r="E44" s="75">
        <v>2301400</v>
      </c>
      <c r="F44" s="53" t="s">
        <v>52</v>
      </c>
      <c r="G44" s="114">
        <v>43096</v>
      </c>
      <c r="H44" s="115">
        <v>1745</v>
      </c>
      <c r="I44" s="22">
        <v>0</v>
      </c>
      <c r="J44" s="77">
        <v>0</v>
      </c>
      <c r="K44" s="35">
        <v>195</v>
      </c>
      <c r="L44" s="77">
        <v>39425.1</v>
      </c>
      <c r="M44" s="35">
        <v>0</v>
      </c>
      <c r="N44" s="77">
        <v>0</v>
      </c>
      <c r="O44" s="35">
        <f>I44+K44-M44</f>
        <v>195</v>
      </c>
      <c r="P44" s="77">
        <f>J44+L44-N44</f>
        <v>39425.1</v>
      </c>
      <c r="Q44" s="138"/>
      <c r="R44" s="138"/>
    </row>
    <row r="45" spans="1:18" s="134" customFormat="1" ht="25.5" customHeight="1">
      <c r="A45" s="131"/>
      <c r="B45" s="132"/>
      <c r="C45" s="60"/>
      <c r="D45" s="79" t="s">
        <v>24</v>
      </c>
      <c r="E45" s="75">
        <v>2301400</v>
      </c>
      <c r="F45" s="140" t="s">
        <v>55</v>
      </c>
      <c r="G45" s="114">
        <v>43082</v>
      </c>
      <c r="H45" s="115">
        <v>1583</v>
      </c>
      <c r="I45" s="22">
        <v>0</v>
      </c>
      <c r="J45" s="77">
        <v>0</v>
      </c>
      <c r="K45" s="35">
        <v>8</v>
      </c>
      <c r="L45" s="77">
        <v>2388</v>
      </c>
      <c r="M45" s="35">
        <v>0</v>
      </c>
      <c r="N45" s="77">
        <v>0</v>
      </c>
      <c r="O45" s="35">
        <f t="shared" si="1"/>
        <v>8</v>
      </c>
      <c r="P45" s="77">
        <f t="shared" si="1"/>
        <v>2388</v>
      </c>
      <c r="Q45" s="133"/>
      <c r="R45" s="133"/>
    </row>
    <row r="46" spans="1:18" s="62" customFormat="1" ht="27.75" customHeight="1">
      <c r="A46" s="59"/>
      <c r="B46" s="60"/>
      <c r="C46" s="60"/>
      <c r="D46" s="79" t="s">
        <v>24</v>
      </c>
      <c r="E46" s="75">
        <v>2301400</v>
      </c>
      <c r="F46" s="51" t="s">
        <v>57</v>
      </c>
      <c r="G46" s="114">
        <v>43096</v>
      </c>
      <c r="H46" s="115">
        <v>1745</v>
      </c>
      <c r="I46" s="22">
        <v>0</v>
      </c>
      <c r="J46" s="77">
        <v>0</v>
      </c>
      <c r="K46" s="35">
        <v>6637</v>
      </c>
      <c r="L46" s="77">
        <v>102541.65</v>
      </c>
      <c r="M46" s="35">
        <v>0</v>
      </c>
      <c r="N46" s="77">
        <v>0</v>
      </c>
      <c r="O46" s="35">
        <f t="shared" si="1"/>
        <v>6637</v>
      </c>
      <c r="P46" s="77">
        <f t="shared" si="1"/>
        <v>102541.65</v>
      </c>
      <c r="Q46" s="61"/>
      <c r="R46" s="61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51" t="s">
        <v>58</v>
      </c>
      <c r="G47" s="114">
        <v>43096</v>
      </c>
      <c r="H47" s="115">
        <v>1745</v>
      </c>
      <c r="I47" s="22">
        <v>0</v>
      </c>
      <c r="J47" s="77">
        <v>0</v>
      </c>
      <c r="K47" s="35">
        <v>4</v>
      </c>
      <c r="L47" s="77">
        <v>9062.24</v>
      </c>
      <c r="M47" s="35">
        <v>0</v>
      </c>
      <c r="N47" s="77">
        <v>0</v>
      </c>
      <c r="O47" s="35">
        <f t="shared" si="1"/>
        <v>4</v>
      </c>
      <c r="P47" s="77">
        <f t="shared" si="1"/>
        <v>9062.24</v>
      </c>
      <c r="Q47" s="61"/>
      <c r="R47" s="61"/>
    </row>
    <row r="48" spans="1:18" s="10" customFormat="1" ht="15.75">
      <c r="A48" s="20" t="s">
        <v>11</v>
      </c>
      <c r="B48" s="20"/>
      <c r="C48" s="20"/>
      <c r="D48" s="690" t="s">
        <v>34</v>
      </c>
      <c r="E48" s="691"/>
      <c r="F48" s="691"/>
      <c r="G48" s="691"/>
      <c r="H48" s="692"/>
      <c r="I48" s="48">
        <f>SUM(I19:I45)</f>
        <v>1342</v>
      </c>
      <c r="J48" s="49">
        <f>SUM(J19:J45)</f>
        <v>493758.06</v>
      </c>
      <c r="K48" s="48">
        <f>SUM(K25:K47)</f>
        <v>7434</v>
      </c>
      <c r="L48" s="64">
        <f>SUM(L19:L47)</f>
        <v>272703.18999999994</v>
      </c>
      <c r="M48" s="48">
        <f>SUM(M19:M47)</f>
        <v>0</v>
      </c>
      <c r="N48" s="49">
        <f>SUM(N19:N47)</f>
        <v>0</v>
      </c>
      <c r="O48" s="48">
        <f>SUM(O19:O47)</f>
        <v>8776</v>
      </c>
      <c r="P48" s="49">
        <f>SUM(P19:P47)</f>
        <v>766461.25</v>
      </c>
      <c r="Q48" s="26">
        <f>SUM(Q19:Q23)</f>
        <v>0</v>
      </c>
      <c r="R48" s="27"/>
    </row>
    <row r="49" spans="1:17">
      <c r="A49" s="19"/>
      <c r="B49" s="19"/>
      <c r="C49" s="19"/>
      <c r="I49" s="10"/>
      <c r="J49" s="10"/>
      <c r="K49" s="10"/>
      <c r="L49" s="10"/>
      <c r="M49" s="10"/>
      <c r="N49" s="10"/>
      <c r="O49" s="10"/>
      <c r="P49" s="10"/>
      <c r="Q49" s="10"/>
    </row>
    <row r="50" spans="1:17" ht="15.75">
      <c r="A50" s="28"/>
      <c r="B50" s="28"/>
      <c r="C50" s="28"/>
      <c r="D50" s="28"/>
      <c r="E50" s="28"/>
      <c r="F50" s="28"/>
      <c r="G50" s="108"/>
      <c r="H50" s="28"/>
      <c r="I50" s="11"/>
      <c r="J50" s="9"/>
      <c r="K50" s="11"/>
      <c r="L50" s="9"/>
      <c r="M50" s="9"/>
      <c r="N50" s="47"/>
      <c r="O50" s="47"/>
      <c r="P50" s="91"/>
    </row>
    <row r="51" spans="1:17" ht="18.75">
      <c r="A51" s="28"/>
      <c r="B51" s="28"/>
      <c r="C51" s="28"/>
      <c r="D51" s="28"/>
      <c r="E51" s="693" t="s">
        <v>25</v>
      </c>
      <c r="F51" s="693"/>
      <c r="G51" s="693"/>
      <c r="H51" s="693"/>
      <c r="I51" s="693"/>
      <c r="J51" s="693"/>
      <c r="K51" s="693"/>
      <c r="L51" s="693"/>
      <c r="M51" s="693"/>
      <c r="N51" s="693"/>
      <c r="O51" s="47"/>
      <c r="P51" s="12"/>
    </row>
    <row r="52" spans="1:17" ht="15" customHeight="1">
      <c r="A52" s="43"/>
      <c r="B52" s="43"/>
      <c r="C52" s="43"/>
      <c r="D52" s="43"/>
      <c r="E52" s="126"/>
      <c r="F52" s="127"/>
      <c r="G52" s="109"/>
      <c r="H52" s="32"/>
      <c r="I52" s="38"/>
      <c r="J52" s="32"/>
      <c r="K52" s="38"/>
      <c r="L52" s="32"/>
      <c r="M52" s="32"/>
      <c r="N52" s="39"/>
      <c r="O52" s="47"/>
      <c r="P52" s="12"/>
    </row>
    <row r="53" spans="1:17" ht="18" customHeight="1">
      <c r="A53" s="44" t="s">
        <v>12</v>
      </c>
      <c r="B53" s="44"/>
      <c r="C53" s="44"/>
      <c r="D53" s="44"/>
      <c r="E53" s="34"/>
      <c r="F53" s="40"/>
      <c r="G53" s="110"/>
      <c r="H53" s="40"/>
      <c r="I53" s="40"/>
      <c r="J53" s="40"/>
      <c r="K53" s="40"/>
      <c r="L53" s="40"/>
      <c r="M53" s="40"/>
      <c r="N53" s="40"/>
      <c r="O53" s="45"/>
      <c r="P53" s="13"/>
    </row>
    <row r="54" spans="1:17" ht="18.75">
      <c r="A54" s="9"/>
      <c r="B54" s="9"/>
      <c r="C54" s="9"/>
      <c r="D54" s="9"/>
      <c r="E54" s="694" t="s">
        <v>20</v>
      </c>
      <c r="F54" s="694"/>
      <c r="G54" s="694"/>
      <c r="H54" s="694"/>
      <c r="I54" s="694"/>
      <c r="J54" s="694"/>
      <c r="K54" s="694"/>
      <c r="L54" s="694"/>
      <c r="M54" s="694"/>
      <c r="N54" s="694"/>
      <c r="O54" s="9"/>
      <c r="P54" s="13"/>
    </row>
    <row r="55" spans="1:17" ht="15.75">
      <c r="A55" s="44"/>
      <c r="B55" s="44"/>
      <c r="C55" s="44"/>
      <c r="D55" s="44"/>
      <c r="E55" s="46" t="s">
        <v>26</v>
      </c>
      <c r="F55" s="44"/>
      <c r="G55" s="111"/>
      <c r="H55" s="45"/>
      <c r="I55" s="45"/>
      <c r="J55" s="45"/>
      <c r="K55" s="45"/>
      <c r="L55" s="45"/>
      <c r="M55" s="45"/>
      <c r="N55" s="45"/>
      <c r="O55" s="45"/>
    </row>
    <row r="56" spans="1:17" ht="36" customHeight="1">
      <c r="A56" s="9"/>
      <c r="B56" s="9"/>
      <c r="C56" s="9"/>
      <c r="D56" s="676" t="s">
        <v>38</v>
      </c>
      <c r="E56" s="676"/>
      <c r="F56" s="676"/>
      <c r="G56" s="112"/>
      <c r="H56" s="9"/>
      <c r="I56" s="11"/>
      <c r="J56" s="9"/>
      <c r="K56" s="11"/>
      <c r="L56" s="9"/>
      <c r="M56" s="9"/>
      <c r="N56" s="9"/>
      <c r="O56" s="9"/>
    </row>
  </sheetData>
  <mergeCells count="16">
    <mergeCell ref="D56:F56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48:H48"/>
    <mergeCell ref="E51:N51"/>
    <mergeCell ref="E54:N54"/>
  </mergeCells>
  <pageMargins left="0.31496062992125984" right="0.31496062992125984" top="0.11811023622047245" bottom="0.41" header="0.23622047244094491" footer="0.52"/>
  <pageSetup paperSize="9" scale="66" fitToHeight="2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7"/>
  <sheetViews>
    <sheetView view="pageBreakPreview" topLeftCell="C88" zoomScale="70" zoomScaleSheetLayoutView="70" workbookViewId="0">
      <selection activeCell="AY93" sqref="AY93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33"/>
      <c r="AR1" s="255"/>
      <c r="AS1" s="255"/>
      <c r="AT1" s="433"/>
      <c r="AU1" s="433"/>
      <c r="AV1" s="433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33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33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242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33"/>
      <c r="AR12" s="255"/>
      <c r="AS12" s="255"/>
      <c r="AT12" s="434"/>
      <c r="AU12" s="434"/>
      <c r="AV12" s="434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241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29" t="s">
        <v>77</v>
      </c>
      <c r="N16" s="429" t="s">
        <v>78</v>
      </c>
      <c r="O16" s="429" t="s">
        <v>77</v>
      </c>
      <c r="P16" s="429" t="s">
        <v>78</v>
      </c>
      <c r="Q16" s="429" t="s">
        <v>77</v>
      </c>
      <c r="R16" s="429" t="s">
        <v>78</v>
      </c>
      <c r="S16" s="429" t="s">
        <v>77</v>
      </c>
      <c r="T16" s="42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30" t="s">
        <v>77</v>
      </c>
      <c r="AE16" s="430" t="s">
        <v>78</v>
      </c>
      <c r="AF16" s="205" t="s">
        <v>77</v>
      </c>
      <c r="AG16" s="205" t="s">
        <v>78</v>
      </c>
      <c r="AH16" s="430" t="s">
        <v>77</v>
      </c>
      <c r="AI16" s="430" t="s">
        <v>78</v>
      </c>
      <c r="AJ16" s="97" t="s">
        <v>96</v>
      </c>
      <c r="AK16" s="96" t="s">
        <v>19</v>
      </c>
      <c r="AL16" s="431" t="s">
        <v>96</v>
      </c>
      <c r="AM16" s="431" t="s">
        <v>19</v>
      </c>
      <c r="AN16" s="216" t="s">
        <v>96</v>
      </c>
      <c r="AO16" s="216" t="s">
        <v>19</v>
      </c>
      <c r="AP16" s="207" t="s">
        <v>96</v>
      </c>
      <c r="AQ16" s="431" t="s">
        <v>96</v>
      </c>
      <c r="AR16" s="431" t="s">
        <v>107</v>
      </c>
      <c r="AS16" s="431" t="s">
        <v>19</v>
      </c>
      <c r="AT16" s="432" t="s">
        <v>96</v>
      </c>
      <c r="AU16" s="432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4" si="0">J18*K18</f>
        <v>0</v>
      </c>
      <c r="N18" s="243">
        <f t="shared" ref="N18:N86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6" si="2">AC18+AK18-AM18</f>
        <v>1026.1600000000001</v>
      </c>
      <c r="AP18" s="232"/>
      <c r="AQ18" s="229"/>
      <c r="AR18" s="212">
        <v>1026.1600000000001</v>
      </c>
      <c r="AS18" s="212">
        <f t="shared" ref="AS18:AS90" si="3">AQ18*AR18</f>
        <v>0</v>
      </c>
      <c r="AT18" s="227">
        <v>1</v>
      </c>
      <c r="AU18" s="228">
        <f t="shared" ref="AU18:AU90" si="4">AT18*AR18</f>
        <v>1026.1600000000001</v>
      </c>
      <c r="AV18" s="406">
        <f t="shared" ref="AV18:AV86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91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406">
        <f t="shared" si="5"/>
        <v>1</v>
      </c>
    </row>
    <row r="20" spans="1:48" s="62" customFormat="1" ht="24.75" customHeight="1">
      <c r="A20" s="59"/>
      <c r="B20" s="60"/>
      <c r="C20" s="60"/>
      <c r="D20" s="22"/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/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/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/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406">
        <f t="shared" si="5"/>
        <v>4</v>
      </c>
    </row>
    <row r="24" spans="1:48" s="62" customFormat="1" ht="24.75" customHeight="1">
      <c r="A24" s="59"/>
      <c r="B24" s="60"/>
      <c r="C24" s="60"/>
      <c r="D24" s="22"/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/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customHeight="1">
      <c r="A28" s="59"/>
      <c r="B28" s="101"/>
      <c r="C28" s="101"/>
      <c r="D28" s="22"/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customHeight="1">
      <c r="A29" s="59"/>
      <c r="B29" s="101"/>
      <c r="C29" s="101"/>
      <c r="D29" s="22"/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/>
      <c r="E30" s="104" t="s">
        <v>24</v>
      </c>
      <c r="F30" s="51" t="s">
        <v>238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/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/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/>
      <c r="E33" s="79" t="s">
        <v>24</v>
      </c>
      <c r="F33" s="51" t="s">
        <v>55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>
        <f t="shared" si="6"/>
        <v>0</v>
      </c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33">
        <f>52-50-2</f>
        <v>0</v>
      </c>
      <c r="AU33" s="386">
        <f t="shared" si="4"/>
        <v>0</v>
      </c>
      <c r="AV33" s="233">
        <f t="shared" si="5"/>
        <v>0</v>
      </c>
    </row>
    <row r="34" spans="1:48" s="103" customFormat="1" ht="26.25" customHeight="1">
      <c r="A34" s="283"/>
      <c r="B34" s="101"/>
      <c r="C34" s="101"/>
      <c r="D34" s="22"/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56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/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/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406">
        <f t="shared" si="5"/>
        <v>105</v>
      </c>
    </row>
    <row r="38" spans="1:48" s="62" customFormat="1" ht="24" customHeight="1">
      <c r="A38" s="59"/>
      <c r="B38" s="60"/>
      <c r="C38" s="427"/>
      <c r="D38" s="428"/>
      <c r="E38" s="79"/>
      <c r="F38" s="162" t="s">
        <v>43</v>
      </c>
      <c r="G38" s="222" t="s">
        <v>163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243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3">
        <v>10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10</v>
      </c>
      <c r="AU38" s="228"/>
      <c r="AV38" s="406">
        <f t="shared" si="5"/>
        <v>10</v>
      </c>
    </row>
    <row r="39" spans="1:48" s="62" customFormat="1" ht="24" customHeight="1">
      <c r="A39" s="59"/>
      <c r="B39" s="60"/>
      <c r="C39" s="60"/>
      <c r="D39" s="22"/>
      <c r="E39" s="79" t="s">
        <v>24</v>
      </c>
      <c r="F39" s="51" t="s">
        <v>43</v>
      </c>
      <c r="G39" s="275" t="s">
        <v>163</v>
      </c>
      <c r="H39" s="115" t="s">
        <v>91</v>
      </c>
      <c r="I39" s="115" t="s">
        <v>91</v>
      </c>
      <c r="J39" s="115">
        <v>96</v>
      </c>
      <c r="K39" s="115">
        <v>2</v>
      </c>
      <c r="L39" s="276">
        <v>543.58000000000004</v>
      </c>
      <c r="M39" s="277">
        <f t="shared" si="0"/>
        <v>192</v>
      </c>
      <c r="N39" s="276">
        <f t="shared" si="1"/>
        <v>104367.36000000002</v>
      </c>
      <c r="O39" s="115">
        <v>250</v>
      </c>
      <c r="P39" s="276">
        <v>123662.5</v>
      </c>
      <c r="Q39" s="115">
        <v>231</v>
      </c>
      <c r="R39" s="276">
        <v>123617.34</v>
      </c>
      <c r="S39" s="115">
        <v>502</v>
      </c>
      <c r="T39" s="276">
        <v>272877.15999999997</v>
      </c>
      <c r="U39" s="278" t="s">
        <v>164</v>
      </c>
      <c r="V39" s="115">
        <v>834</v>
      </c>
      <c r="W39" s="114">
        <v>43222</v>
      </c>
      <c r="X39" s="115" t="s">
        <v>162</v>
      </c>
      <c r="Y39" s="221">
        <v>43242</v>
      </c>
      <c r="Z39" s="115"/>
      <c r="AA39" s="115"/>
      <c r="AB39" s="35">
        <v>0</v>
      </c>
      <c r="AC39" s="170">
        <v>0</v>
      </c>
      <c r="AD39" s="208">
        <v>15</v>
      </c>
      <c r="AE39" s="170">
        <v>8028.3</v>
      </c>
      <c r="AF39" s="208"/>
      <c r="AG39" s="170"/>
      <c r="AH39" s="208"/>
      <c r="AI39" s="170"/>
      <c r="AJ39" s="233">
        <f t="shared" si="6"/>
        <v>15</v>
      </c>
      <c r="AK39" s="170">
        <f t="shared" si="6"/>
        <v>8028.3</v>
      </c>
      <c r="AL39" s="270">
        <v>0</v>
      </c>
      <c r="AM39" s="170">
        <v>0</v>
      </c>
      <c r="AN39" s="270">
        <v>15</v>
      </c>
      <c r="AO39" s="170">
        <f t="shared" si="2"/>
        <v>8028.3</v>
      </c>
      <c r="AP39" s="233"/>
      <c r="AQ39" s="233"/>
      <c r="AR39" s="170">
        <v>535.22</v>
      </c>
      <c r="AS39" s="170">
        <f t="shared" si="3"/>
        <v>0</v>
      </c>
      <c r="AT39" s="233">
        <f>15-15</f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/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204</v>
      </c>
      <c r="V40" s="115">
        <v>1405</v>
      </c>
      <c r="W40" s="114">
        <v>43052</v>
      </c>
      <c r="X40" s="115"/>
      <c r="Y40" s="115"/>
      <c r="Z40" s="115"/>
      <c r="AA40" s="115"/>
      <c r="AB40" s="35">
        <v>120</v>
      </c>
      <c r="AC40" s="170">
        <v>58734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f>15+30+10+25+20+20</f>
        <v>120</v>
      </c>
      <c r="AM40" s="170">
        <f>7341.75+14683.5+4894.5+12236.25+9789</f>
        <v>48945</v>
      </c>
      <c r="AN40" s="270">
        <v>0</v>
      </c>
      <c r="AO40" s="170">
        <f t="shared" si="2"/>
        <v>9789</v>
      </c>
      <c r="AP40" s="233"/>
      <c r="AQ40" s="233"/>
      <c r="AR40" s="170">
        <v>489.45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/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/>
      <c r="V41" s="115">
        <v>1476</v>
      </c>
      <c r="W41" s="114">
        <v>43066</v>
      </c>
      <c r="X41" s="115" t="s">
        <v>201</v>
      </c>
      <c r="Y41" s="221">
        <v>43068</v>
      </c>
      <c r="Z41" s="115" t="s">
        <v>210</v>
      </c>
      <c r="AA41" s="221">
        <v>43073</v>
      </c>
      <c r="AB41" s="35">
        <v>30</v>
      </c>
      <c r="AC41" s="170">
        <v>14683.5</v>
      </c>
      <c r="AD41" s="208"/>
      <c r="AE41" s="170"/>
      <c r="AF41" s="208"/>
      <c r="AG41" s="170"/>
      <c r="AH41" s="208"/>
      <c r="AI41" s="170"/>
      <c r="AJ41" s="233">
        <f t="shared" si="6"/>
        <v>0</v>
      </c>
      <c r="AK41" s="170">
        <f t="shared" si="6"/>
        <v>0</v>
      </c>
      <c r="AL41" s="270">
        <v>30</v>
      </c>
      <c r="AM41" s="170">
        <v>14683.5</v>
      </c>
      <c r="AN41" s="270">
        <v>0</v>
      </c>
      <c r="AO41" s="170">
        <f t="shared" si="2"/>
        <v>0</v>
      </c>
      <c r="AP41" s="233"/>
      <c r="AQ41" s="233"/>
      <c r="AR41" s="170"/>
      <c r="AS41" s="170">
        <f t="shared" si="3"/>
        <v>0</v>
      </c>
      <c r="AT41" s="208">
        <v>0</v>
      </c>
      <c r="AU41" s="170">
        <f t="shared" si="4"/>
        <v>0</v>
      </c>
      <c r="AV41" s="233">
        <f t="shared" si="5"/>
        <v>0</v>
      </c>
    </row>
    <row r="42" spans="1:48" s="62" customFormat="1" ht="24" customHeight="1">
      <c r="A42" s="59"/>
      <c r="B42" s="60"/>
      <c r="C42" s="60"/>
      <c r="D42" s="22"/>
      <c r="E42" s="79" t="s">
        <v>24</v>
      </c>
      <c r="F42" s="51" t="s">
        <v>48</v>
      </c>
      <c r="G42" s="275" t="s">
        <v>152</v>
      </c>
      <c r="H42" s="115" t="s">
        <v>91</v>
      </c>
      <c r="I42" s="115" t="s">
        <v>91</v>
      </c>
      <c r="J42" s="115">
        <v>360</v>
      </c>
      <c r="K42" s="115">
        <v>2</v>
      </c>
      <c r="L42" s="276">
        <v>497.09</v>
      </c>
      <c r="M42" s="277">
        <f t="shared" si="0"/>
        <v>720</v>
      </c>
      <c r="N42" s="276">
        <f t="shared" si="1"/>
        <v>357904.8</v>
      </c>
      <c r="O42" s="115">
        <v>150</v>
      </c>
      <c r="P42" s="276">
        <v>67861.5</v>
      </c>
      <c r="Q42" s="115">
        <v>300</v>
      </c>
      <c r="R42" s="276">
        <v>146787</v>
      </c>
      <c r="S42" s="115">
        <v>490</v>
      </c>
      <c r="T42" s="276">
        <v>243574.1</v>
      </c>
      <c r="U42" s="278" t="s">
        <v>151</v>
      </c>
      <c r="V42" s="115">
        <v>546</v>
      </c>
      <c r="W42" s="114">
        <v>43182</v>
      </c>
      <c r="X42" s="115" t="s">
        <v>149</v>
      </c>
      <c r="Y42" s="221">
        <v>43201</v>
      </c>
      <c r="Z42" s="115" t="s">
        <v>147</v>
      </c>
      <c r="AA42" s="221">
        <v>43252</v>
      </c>
      <c r="AB42" s="35">
        <v>0</v>
      </c>
      <c r="AC42" s="170">
        <v>0</v>
      </c>
      <c r="AD42" s="208">
        <v>65</v>
      </c>
      <c r="AE42" s="170">
        <v>31814.25</v>
      </c>
      <c r="AF42" s="208"/>
      <c r="AG42" s="170"/>
      <c r="AH42" s="208"/>
      <c r="AI42" s="170"/>
      <c r="AJ42" s="233">
        <f t="shared" si="6"/>
        <v>65</v>
      </c>
      <c r="AK42" s="170">
        <f t="shared" si="6"/>
        <v>31814.25</v>
      </c>
      <c r="AL42" s="270">
        <v>0</v>
      </c>
      <c r="AM42" s="170">
        <v>0</v>
      </c>
      <c r="AN42" s="270">
        <v>65</v>
      </c>
      <c r="AO42" s="170">
        <f t="shared" si="2"/>
        <v>31814.25</v>
      </c>
      <c r="AP42" s="233"/>
      <c r="AQ42" s="233"/>
      <c r="AR42" s="170">
        <v>489.45</v>
      </c>
      <c r="AS42" s="170">
        <f t="shared" si="3"/>
        <v>0</v>
      </c>
      <c r="AT42" s="233">
        <f>35-35</f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1" t="s">
        <v>44</v>
      </c>
      <c r="G43" s="275" t="s">
        <v>116</v>
      </c>
      <c r="H43" s="115" t="s">
        <v>91</v>
      </c>
      <c r="I43" s="115" t="s">
        <v>91</v>
      </c>
      <c r="J43" s="115">
        <v>1750</v>
      </c>
      <c r="K43" s="115">
        <v>2</v>
      </c>
      <c r="L43" s="276">
        <v>199.06</v>
      </c>
      <c r="M43" s="277">
        <f t="shared" si="0"/>
        <v>3500</v>
      </c>
      <c r="N43" s="276">
        <f t="shared" si="1"/>
        <v>696710</v>
      </c>
      <c r="O43" s="115">
        <v>1000</v>
      </c>
      <c r="P43" s="276">
        <v>255340</v>
      </c>
      <c r="Q43" s="115"/>
      <c r="R43" s="276"/>
      <c r="S43" s="115">
        <v>368</v>
      </c>
      <c r="T43" s="276">
        <v>73254.080000000002</v>
      </c>
      <c r="U43" s="278" t="s">
        <v>119</v>
      </c>
      <c r="V43" s="115">
        <v>1583</v>
      </c>
      <c r="W43" s="114">
        <v>43082</v>
      </c>
      <c r="X43" s="115" t="s">
        <v>113</v>
      </c>
      <c r="Y43" s="221">
        <v>43109</v>
      </c>
      <c r="Z43" s="115" t="s">
        <v>110</v>
      </c>
      <c r="AA43" s="221">
        <v>43111</v>
      </c>
      <c r="AB43" s="22">
        <v>0</v>
      </c>
      <c r="AC43" s="170">
        <v>0</v>
      </c>
      <c r="AD43" s="208">
        <v>50</v>
      </c>
      <c r="AE43" s="170">
        <v>10109</v>
      </c>
      <c r="AF43" s="208"/>
      <c r="AG43" s="170"/>
      <c r="AH43" s="208"/>
      <c r="AI43" s="170"/>
      <c r="AJ43" s="233">
        <f t="shared" si="6"/>
        <v>50</v>
      </c>
      <c r="AK43" s="170">
        <f t="shared" si="6"/>
        <v>10109</v>
      </c>
      <c r="AL43" s="270">
        <v>10</v>
      </c>
      <c r="AM43" s="170">
        <f>AL43*AR43</f>
        <v>2021.8000000000002</v>
      </c>
      <c r="AN43" s="270">
        <v>40</v>
      </c>
      <c r="AO43" s="170">
        <f t="shared" si="2"/>
        <v>8087.2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1" t="s">
        <v>54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119</v>
      </c>
      <c r="V44" s="115">
        <v>1745</v>
      </c>
      <c r="W44" s="114">
        <v>43096</v>
      </c>
      <c r="X44" s="115" t="s">
        <v>117</v>
      </c>
      <c r="Y44" s="221">
        <v>43109</v>
      </c>
      <c r="Z44" s="115" t="s">
        <v>118</v>
      </c>
      <c r="AA44" s="221">
        <v>43133</v>
      </c>
      <c r="AB44" s="22">
        <v>0</v>
      </c>
      <c r="AC44" s="170">
        <v>0</v>
      </c>
      <c r="AD44" s="208">
        <v>45</v>
      </c>
      <c r="AE44" s="170">
        <v>9098.1</v>
      </c>
      <c r="AF44" s="208"/>
      <c r="AG44" s="170"/>
      <c r="AH44" s="208"/>
      <c r="AI44" s="170"/>
      <c r="AJ44" s="233">
        <f t="shared" si="6"/>
        <v>45</v>
      </c>
      <c r="AK44" s="170">
        <f t="shared" si="6"/>
        <v>9098.1</v>
      </c>
      <c r="AL44" s="270">
        <v>0</v>
      </c>
      <c r="AM44" s="170">
        <v>0</v>
      </c>
      <c r="AN44" s="270">
        <v>45</v>
      </c>
      <c r="AO44" s="170">
        <f t="shared" si="2"/>
        <v>9098.1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1" t="s">
        <v>44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134</v>
      </c>
      <c r="V45" s="115">
        <v>426</v>
      </c>
      <c r="W45" s="114">
        <v>43164</v>
      </c>
      <c r="X45" s="115" t="s">
        <v>141</v>
      </c>
      <c r="Y45" s="221">
        <v>43164</v>
      </c>
      <c r="Z45" s="115" t="s">
        <v>142</v>
      </c>
      <c r="AA45" s="221">
        <v>43230</v>
      </c>
      <c r="AB45" s="22">
        <v>0</v>
      </c>
      <c r="AC45" s="170">
        <v>0</v>
      </c>
      <c r="AD45" s="208">
        <v>50</v>
      </c>
      <c r="AE45" s="170">
        <v>10109</v>
      </c>
      <c r="AF45" s="208"/>
      <c r="AG45" s="170"/>
      <c r="AH45" s="208"/>
      <c r="AI45" s="170"/>
      <c r="AJ45" s="233">
        <f t="shared" si="6"/>
        <v>50</v>
      </c>
      <c r="AK45" s="170">
        <f t="shared" si="6"/>
        <v>10109</v>
      </c>
      <c r="AL45" s="270">
        <v>0</v>
      </c>
      <c r="AM45" s="170">
        <v>0</v>
      </c>
      <c r="AN45" s="270">
        <v>50</v>
      </c>
      <c r="AO45" s="170">
        <f t="shared" si="2"/>
        <v>10109</v>
      </c>
      <c r="AP45" s="233"/>
      <c r="AQ45" s="233"/>
      <c r="AR45" s="170">
        <v>202.18</v>
      </c>
      <c r="AS45" s="170">
        <f t="shared" si="3"/>
        <v>0</v>
      </c>
      <c r="AT45" s="233">
        <v>0</v>
      </c>
      <c r="AU45" s="386">
        <f t="shared" si="4"/>
        <v>0</v>
      </c>
      <c r="AV45" s="233">
        <f t="shared" si="5"/>
        <v>0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134</v>
      </c>
      <c r="V46" s="115">
        <v>260</v>
      </c>
      <c r="W46" s="114">
        <v>43145</v>
      </c>
      <c r="X46" s="115" t="s">
        <v>94</v>
      </c>
      <c r="Y46" s="221">
        <v>43164</v>
      </c>
      <c r="Z46" s="115"/>
      <c r="AA46" s="115"/>
      <c r="AB46" s="22">
        <v>0</v>
      </c>
      <c r="AC46" s="170">
        <v>0</v>
      </c>
      <c r="AD46" s="208">
        <v>110</v>
      </c>
      <c r="AE46" s="170">
        <v>22239.8</v>
      </c>
      <c r="AF46" s="208"/>
      <c r="AG46" s="170"/>
      <c r="AH46" s="208"/>
      <c r="AI46" s="170"/>
      <c r="AJ46" s="233">
        <f t="shared" si="6"/>
        <v>110</v>
      </c>
      <c r="AK46" s="170">
        <f t="shared" si="6"/>
        <v>22239.8</v>
      </c>
      <c r="AL46" s="270">
        <v>0</v>
      </c>
      <c r="AM46" s="170">
        <v>0</v>
      </c>
      <c r="AN46" s="270">
        <v>110</v>
      </c>
      <c r="AO46" s="170">
        <f t="shared" si="2"/>
        <v>22239.8</v>
      </c>
      <c r="AP46" s="233"/>
      <c r="AQ46" s="233"/>
      <c r="AR46" s="170">
        <v>202.18</v>
      </c>
      <c r="AS46" s="170">
        <f t="shared" si="3"/>
        <v>0</v>
      </c>
      <c r="AT46" s="233">
        <f>25-25</f>
        <v>0</v>
      </c>
      <c r="AU46" s="386">
        <f t="shared" si="4"/>
        <v>0</v>
      </c>
      <c r="AV46" s="233">
        <f t="shared" si="5"/>
        <v>0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150</v>
      </c>
      <c r="V47" s="115">
        <v>546</v>
      </c>
      <c r="W47" s="114">
        <v>43182</v>
      </c>
      <c r="X47" s="115" t="s">
        <v>149</v>
      </c>
      <c r="Y47" s="221">
        <v>43201</v>
      </c>
      <c r="Z47" s="115" t="s">
        <v>147</v>
      </c>
      <c r="AA47" s="221">
        <v>43252</v>
      </c>
      <c r="AB47" s="22">
        <v>0</v>
      </c>
      <c r="AC47" s="170">
        <v>0</v>
      </c>
      <c r="AD47" s="208">
        <v>105</v>
      </c>
      <c r="AE47" s="170">
        <v>21228.9</v>
      </c>
      <c r="AF47" s="208"/>
      <c r="AG47" s="170"/>
      <c r="AH47" s="208"/>
      <c r="AI47" s="170"/>
      <c r="AJ47" s="233">
        <f t="shared" si="6"/>
        <v>105</v>
      </c>
      <c r="AK47" s="170">
        <f t="shared" si="6"/>
        <v>21228.9</v>
      </c>
      <c r="AL47" s="270">
        <v>0</v>
      </c>
      <c r="AM47" s="170">
        <v>0</v>
      </c>
      <c r="AN47" s="270">
        <v>105</v>
      </c>
      <c r="AO47" s="170">
        <f t="shared" si="2"/>
        <v>21228.9</v>
      </c>
      <c r="AP47" s="233"/>
      <c r="AQ47" s="233"/>
      <c r="AR47" s="170">
        <v>202.18</v>
      </c>
      <c r="AS47" s="170">
        <f t="shared" si="3"/>
        <v>0</v>
      </c>
      <c r="AT47" s="233">
        <f>105-105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150</v>
      </c>
      <c r="V48" s="115">
        <v>659</v>
      </c>
      <c r="W48" s="114">
        <v>43201</v>
      </c>
      <c r="X48" s="115" t="s">
        <v>159</v>
      </c>
      <c r="Y48" s="221">
        <v>43213</v>
      </c>
      <c r="Z48" s="115" t="s">
        <v>160</v>
      </c>
      <c r="AA48" s="221">
        <v>43255</v>
      </c>
      <c r="AB48" s="22">
        <v>0</v>
      </c>
      <c r="AC48" s="170">
        <v>0</v>
      </c>
      <c r="AD48" s="208">
        <v>80</v>
      </c>
      <c r="AE48" s="170">
        <v>16174.4</v>
      </c>
      <c r="AF48" s="208"/>
      <c r="AG48" s="170"/>
      <c r="AH48" s="208"/>
      <c r="AI48" s="170"/>
      <c r="AJ48" s="233">
        <f t="shared" si="6"/>
        <v>80</v>
      </c>
      <c r="AK48" s="170">
        <f t="shared" si="6"/>
        <v>16174.4</v>
      </c>
      <c r="AL48" s="270">
        <v>0</v>
      </c>
      <c r="AM48" s="170">
        <v>0</v>
      </c>
      <c r="AN48" s="270">
        <v>80</v>
      </c>
      <c r="AO48" s="170">
        <f t="shared" si="2"/>
        <v>16174.4</v>
      </c>
      <c r="AP48" s="233"/>
      <c r="AQ48" s="233"/>
      <c r="AR48" s="170">
        <v>202.18</v>
      </c>
      <c r="AS48" s="170">
        <f t="shared" si="3"/>
        <v>0</v>
      </c>
      <c r="AT48" s="233">
        <f>80-80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169</v>
      </c>
      <c r="V49" s="115">
        <v>834</v>
      </c>
      <c r="W49" s="114">
        <v>43222</v>
      </c>
      <c r="X49" s="115" t="s">
        <v>162</v>
      </c>
      <c r="Y49" s="221">
        <v>43242</v>
      </c>
      <c r="Z49" s="115"/>
      <c r="AA49" s="115"/>
      <c r="AB49" s="35">
        <v>0</v>
      </c>
      <c r="AC49" s="170">
        <v>0</v>
      </c>
      <c r="AD49" s="208">
        <v>95</v>
      </c>
      <c r="AE49" s="170">
        <v>19207.099999999999</v>
      </c>
      <c r="AF49" s="208"/>
      <c r="AG49" s="170"/>
      <c r="AH49" s="208"/>
      <c r="AI49" s="170"/>
      <c r="AJ49" s="233">
        <f t="shared" si="6"/>
        <v>95</v>
      </c>
      <c r="AK49" s="170">
        <f t="shared" si="6"/>
        <v>19207.099999999999</v>
      </c>
      <c r="AL49" s="270">
        <v>0</v>
      </c>
      <c r="AM49" s="170">
        <v>0</v>
      </c>
      <c r="AN49" s="270">
        <v>95</v>
      </c>
      <c r="AO49" s="170">
        <f t="shared" si="2"/>
        <v>19207.099999999999</v>
      </c>
      <c r="AP49" s="233"/>
      <c r="AQ49" s="233"/>
      <c r="AR49" s="170">
        <v>202.18</v>
      </c>
      <c r="AS49" s="170">
        <f>AQ49*AR49</f>
        <v>0</v>
      </c>
      <c r="AT49" s="233">
        <f>95-45-50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1" t="s">
        <v>44</v>
      </c>
      <c r="G50" s="275" t="s">
        <v>116</v>
      </c>
      <c r="H50" s="115" t="s">
        <v>91</v>
      </c>
      <c r="I50" s="115" t="s">
        <v>91</v>
      </c>
      <c r="J50" s="115"/>
      <c r="K50" s="115"/>
      <c r="L50" s="276"/>
      <c r="M50" s="277">
        <f t="shared" si="0"/>
        <v>0</v>
      </c>
      <c r="N50" s="276">
        <f t="shared" si="1"/>
        <v>0</v>
      </c>
      <c r="O50" s="115"/>
      <c r="P50" s="276"/>
      <c r="Q50" s="115"/>
      <c r="R50" s="276"/>
      <c r="S50" s="115"/>
      <c r="T50" s="276"/>
      <c r="U50" s="278" t="s">
        <v>180</v>
      </c>
      <c r="V50" s="115">
        <v>1006</v>
      </c>
      <c r="W50" s="114">
        <v>43244</v>
      </c>
      <c r="X50" s="115" t="s">
        <v>179</v>
      </c>
      <c r="Y50" s="221">
        <v>43285</v>
      </c>
      <c r="Z50" s="115"/>
      <c r="AA50" s="115"/>
      <c r="AB50" s="35">
        <v>0</v>
      </c>
      <c r="AC50" s="170">
        <v>0</v>
      </c>
      <c r="AD50" s="208">
        <v>20</v>
      </c>
      <c r="AE50" s="170">
        <v>3920</v>
      </c>
      <c r="AF50" s="208"/>
      <c r="AG50" s="170"/>
      <c r="AH50" s="208"/>
      <c r="AI50" s="170"/>
      <c r="AJ50" s="233">
        <f t="shared" si="6"/>
        <v>20</v>
      </c>
      <c r="AK50" s="170">
        <f t="shared" si="6"/>
        <v>3920</v>
      </c>
      <c r="AL50" s="270">
        <v>0</v>
      </c>
      <c r="AM50" s="170">
        <v>0</v>
      </c>
      <c r="AN50" s="270">
        <v>20</v>
      </c>
      <c r="AO50" s="170">
        <f t="shared" si="2"/>
        <v>3920</v>
      </c>
      <c r="AP50" s="233"/>
      <c r="AQ50" s="233"/>
      <c r="AR50" s="170">
        <v>196</v>
      </c>
      <c r="AS50" s="170">
        <f t="shared" si="3"/>
        <v>0</v>
      </c>
      <c r="AT50" s="233">
        <f>20-20</f>
        <v>0</v>
      </c>
      <c r="AU50" s="386">
        <f t="shared" si="4"/>
        <v>0</v>
      </c>
      <c r="AV50" s="233">
        <f t="shared" si="5"/>
        <v>0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176</v>
      </c>
      <c r="V51" s="115">
        <v>877</v>
      </c>
      <c r="W51" s="114">
        <v>43230</v>
      </c>
      <c r="X51" s="193" t="s">
        <v>174</v>
      </c>
      <c r="Y51" s="200">
        <v>43285</v>
      </c>
      <c r="Z51" s="193"/>
      <c r="AA51" s="193"/>
      <c r="AB51" s="35">
        <v>0</v>
      </c>
      <c r="AC51" s="170">
        <v>0</v>
      </c>
      <c r="AD51" s="209">
        <v>225</v>
      </c>
      <c r="AE51" s="194">
        <v>45490.5</v>
      </c>
      <c r="AF51" s="209"/>
      <c r="AG51" s="194"/>
      <c r="AH51" s="209"/>
      <c r="AI51" s="194"/>
      <c r="AJ51" s="233">
        <f t="shared" si="6"/>
        <v>225</v>
      </c>
      <c r="AK51" s="170">
        <f t="shared" si="6"/>
        <v>45490.5</v>
      </c>
      <c r="AL51" s="272">
        <v>0</v>
      </c>
      <c r="AM51" s="212">
        <v>0</v>
      </c>
      <c r="AN51" s="269">
        <v>225</v>
      </c>
      <c r="AO51" s="217">
        <f t="shared" si="2"/>
        <v>45490.5</v>
      </c>
      <c r="AP51" s="232"/>
      <c r="AQ51" s="229"/>
      <c r="AR51" s="212">
        <v>202.18</v>
      </c>
      <c r="AS51" s="212">
        <f t="shared" si="3"/>
        <v>0</v>
      </c>
      <c r="AT51" s="227">
        <f>225-130</f>
        <v>95</v>
      </c>
      <c r="AU51" s="262">
        <f t="shared" si="4"/>
        <v>19207.100000000002</v>
      </c>
      <c r="AV51" s="406">
        <f t="shared" si="5"/>
        <v>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149" t="s">
        <v>44</v>
      </c>
      <c r="G52" s="222" t="s">
        <v>116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186</v>
      </c>
      <c r="V52" s="115">
        <v>1418</v>
      </c>
      <c r="W52" s="114">
        <v>43312</v>
      </c>
      <c r="X52" s="193" t="s">
        <v>184</v>
      </c>
      <c r="Y52" s="200">
        <v>43332</v>
      </c>
      <c r="Z52" s="193" t="s">
        <v>185</v>
      </c>
      <c r="AA52" s="200">
        <v>43320</v>
      </c>
      <c r="AB52" s="22">
        <v>0</v>
      </c>
      <c r="AC52" s="170">
        <v>0</v>
      </c>
      <c r="AD52" s="209">
        <v>55</v>
      </c>
      <c r="AE52" s="194">
        <v>10780</v>
      </c>
      <c r="AF52" s="209"/>
      <c r="AG52" s="194"/>
      <c r="AH52" s="209"/>
      <c r="AI52" s="194"/>
      <c r="AJ52" s="233">
        <f t="shared" si="6"/>
        <v>55</v>
      </c>
      <c r="AK52" s="170">
        <f t="shared" si="6"/>
        <v>10780</v>
      </c>
      <c r="AL52" s="272">
        <v>0</v>
      </c>
      <c r="AM52" s="212">
        <v>0</v>
      </c>
      <c r="AN52" s="269">
        <v>55</v>
      </c>
      <c r="AO52" s="217">
        <v>0</v>
      </c>
      <c r="AP52" s="232"/>
      <c r="AQ52" s="229"/>
      <c r="AR52" s="212">
        <v>196</v>
      </c>
      <c r="AS52" s="212">
        <f t="shared" si="3"/>
        <v>0</v>
      </c>
      <c r="AT52" s="227">
        <f>55</f>
        <v>55</v>
      </c>
      <c r="AU52" s="262">
        <f t="shared" si="4"/>
        <v>10780</v>
      </c>
      <c r="AV52" s="406">
        <f t="shared" si="5"/>
        <v>55</v>
      </c>
    </row>
    <row r="53" spans="1:48" s="62" customFormat="1" ht="26.25" customHeight="1">
      <c r="A53" s="59"/>
      <c r="B53" s="60"/>
      <c r="C53" s="60"/>
      <c r="D53" s="22"/>
      <c r="E53" s="79"/>
      <c r="F53" s="149" t="s">
        <v>44</v>
      </c>
      <c r="G53" s="222" t="s">
        <v>116</v>
      </c>
      <c r="H53" s="193"/>
      <c r="I53" s="193"/>
      <c r="J53" s="193"/>
      <c r="K53" s="193"/>
      <c r="L53" s="243"/>
      <c r="M53" s="242"/>
      <c r="N53" s="243"/>
      <c r="O53" s="193"/>
      <c r="P53" s="243"/>
      <c r="Q53" s="193"/>
      <c r="R53" s="243"/>
      <c r="S53" s="193"/>
      <c r="T53" s="243"/>
      <c r="U53" s="203"/>
      <c r="V53" s="115"/>
      <c r="W53" s="114"/>
      <c r="X53" s="193"/>
      <c r="Y53" s="200"/>
      <c r="Z53" s="193"/>
      <c r="AA53" s="200"/>
      <c r="AB53" s="22"/>
      <c r="AC53" s="170"/>
      <c r="AD53" s="209"/>
      <c r="AE53" s="194"/>
      <c r="AF53" s="209"/>
      <c r="AG53" s="194"/>
      <c r="AH53" s="209"/>
      <c r="AI53" s="194"/>
      <c r="AJ53" s="233">
        <v>15</v>
      </c>
      <c r="AK53" s="170"/>
      <c r="AL53" s="272"/>
      <c r="AM53" s="212"/>
      <c r="AN53" s="269"/>
      <c r="AO53" s="217"/>
      <c r="AP53" s="232"/>
      <c r="AQ53" s="229"/>
      <c r="AR53" s="212"/>
      <c r="AS53" s="212"/>
      <c r="AT53" s="227">
        <v>15</v>
      </c>
      <c r="AU53" s="228"/>
      <c r="AV53" s="406">
        <v>15</v>
      </c>
    </row>
    <row r="54" spans="1:48" s="62" customFormat="1" ht="27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1625</v>
      </c>
      <c r="W54" s="114">
        <v>43087</v>
      </c>
      <c r="X54" s="115" t="s">
        <v>109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5</v>
      </c>
      <c r="AE54" s="170">
        <v>1010.9</v>
      </c>
      <c r="AF54" s="208"/>
      <c r="AG54" s="170"/>
      <c r="AH54" s="208"/>
      <c r="AI54" s="170"/>
      <c r="AJ54" s="233">
        <f t="shared" si="6"/>
        <v>5</v>
      </c>
      <c r="AK54" s="170">
        <f t="shared" si="6"/>
        <v>1010.9</v>
      </c>
      <c r="AL54" s="270">
        <v>5</v>
      </c>
      <c r="AM54" s="170">
        <v>1010.9</v>
      </c>
      <c r="AN54" s="270">
        <v>0</v>
      </c>
      <c r="AO54" s="170">
        <f t="shared" si="2"/>
        <v>0</v>
      </c>
      <c r="AP54" s="233"/>
      <c r="AQ54" s="233"/>
      <c r="AR54" s="170"/>
      <c r="AS54" s="170">
        <f t="shared" si="3"/>
        <v>0</v>
      </c>
      <c r="AT54" s="208">
        <v>0</v>
      </c>
      <c r="AU54" s="170">
        <f t="shared" si="4"/>
        <v>0</v>
      </c>
      <c r="AV54" s="233">
        <f t="shared" si="5"/>
        <v>0</v>
      </c>
    </row>
    <row r="55" spans="1:48" s="62" customFormat="1" ht="27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>
        <v>2016</v>
      </c>
      <c r="K55" s="115">
        <v>2</v>
      </c>
      <c r="L55" s="276">
        <v>199.06</v>
      </c>
      <c r="M55" s="277">
        <f t="shared" si="0"/>
        <v>4032</v>
      </c>
      <c r="N55" s="276">
        <f t="shared" si="1"/>
        <v>802609.92</v>
      </c>
      <c r="O55" s="115">
        <v>4130</v>
      </c>
      <c r="P55" s="276">
        <v>1054554.2</v>
      </c>
      <c r="Q55" s="115"/>
      <c r="R55" s="276"/>
      <c r="S55" s="115"/>
      <c r="T55" s="276"/>
      <c r="U55" s="278" t="s">
        <v>112</v>
      </c>
      <c r="V55" s="115">
        <v>1583</v>
      </c>
      <c r="W55" s="114">
        <v>43082</v>
      </c>
      <c r="X55" s="115" t="s">
        <v>113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490</v>
      </c>
      <c r="AE55" s="170">
        <v>99068.2</v>
      </c>
      <c r="AF55" s="208"/>
      <c r="AG55" s="170"/>
      <c r="AH55" s="208"/>
      <c r="AI55" s="170"/>
      <c r="AJ55" s="233">
        <f t="shared" si="6"/>
        <v>490</v>
      </c>
      <c r="AK55" s="170">
        <f t="shared" si="6"/>
        <v>99068.2</v>
      </c>
      <c r="AL55" s="270">
        <f>135+130+130</f>
        <v>395</v>
      </c>
      <c r="AM55" s="170">
        <f>AL55*AR55</f>
        <v>79861.100000000006</v>
      </c>
      <c r="AN55" s="270">
        <v>95</v>
      </c>
      <c r="AO55" s="170">
        <f t="shared" si="2"/>
        <v>19207.099999999991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f t="shared" si="5"/>
        <v>0</v>
      </c>
    </row>
    <row r="56" spans="1:48" s="139" customFormat="1" ht="27" customHeight="1">
      <c r="A56" s="136"/>
      <c r="B56" s="137"/>
      <c r="C56" s="60"/>
      <c r="D56" s="22"/>
      <c r="E56" s="79" t="s">
        <v>24</v>
      </c>
      <c r="F56" s="53" t="s">
        <v>52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112</v>
      </c>
      <c r="V56" s="115">
        <v>1745</v>
      </c>
      <c r="W56" s="114">
        <v>43096</v>
      </c>
      <c r="X56" s="193" t="s">
        <v>117</v>
      </c>
      <c r="Y56" s="200">
        <v>43109</v>
      </c>
      <c r="Z56" s="193" t="s">
        <v>118</v>
      </c>
      <c r="AA56" s="200">
        <v>43133</v>
      </c>
      <c r="AB56" s="22">
        <v>0</v>
      </c>
      <c r="AC56" s="170">
        <v>0</v>
      </c>
      <c r="AD56" s="209">
        <v>195</v>
      </c>
      <c r="AE56" s="194">
        <v>39425.1</v>
      </c>
      <c r="AF56" s="209"/>
      <c r="AG56" s="194"/>
      <c r="AH56" s="209"/>
      <c r="AI56" s="194"/>
      <c r="AJ56" s="233">
        <f t="shared" si="6"/>
        <v>195</v>
      </c>
      <c r="AK56" s="170">
        <f t="shared" si="6"/>
        <v>39425.1</v>
      </c>
      <c r="AL56" s="272">
        <v>0</v>
      </c>
      <c r="AM56" s="212">
        <v>0</v>
      </c>
      <c r="AN56" s="269">
        <v>195</v>
      </c>
      <c r="AO56" s="217">
        <f t="shared" si="2"/>
        <v>39425.1</v>
      </c>
      <c r="AP56" s="232"/>
      <c r="AQ56" s="229"/>
      <c r="AR56" s="212">
        <v>202.18</v>
      </c>
      <c r="AS56" s="212">
        <f t="shared" si="3"/>
        <v>0</v>
      </c>
      <c r="AT56" s="261">
        <f>160-140-20</f>
        <v>0</v>
      </c>
      <c r="AU56" s="262">
        <f t="shared" si="4"/>
        <v>0</v>
      </c>
      <c r="AV56" s="406">
        <f t="shared" si="5"/>
        <v>0</v>
      </c>
    </row>
    <row r="57" spans="1:48" s="62" customFormat="1" ht="26.25" customHeight="1">
      <c r="A57" s="59"/>
      <c r="B57" s="60"/>
      <c r="C57" s="60"/>
      <c r="D57" s="22"/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426</v>
      </c>
      <c r="W57" s="114">
        <v>43164</v>
      </c>
      <c r="X57" s="193" t="s">
        <v>141</v>
      </c>
      <c r="Y57" s="200">
        <v>43164</v>
      </c>
      <c r="Z57" s="193" t="s">
        <v>142</v>
      </c>
      <c r="AA57" s="200">
        <v>43230</v>
      </c>
      <c r="AB57" s="22">
        <v>0</v>
      </c>
      <c r="AC57" s="170">
        <v>0</v>
      </c>
      <c r="AD57" s="209">
        <v>170</v>
      </c>
      <c r="AE57" s="194">
        <v>34370.6</v>
      </c>
      <c r="AF57" s="209"/>
      <c r="AG57" s="194"/>
      <c r="AH57" s="209"/>
      <c r="AI57" s="194"/>
      <c r="AJ57" s="233">
        <f t="shared" si="6"/>
        <v>170</v>
      </c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61">
        <f>170-110</f>
        <v>60</v>
      </c>
      <c r="AU57" s="262">
        <f t="shared" si="4"/>
        <v>12130.800000000001</v>
      </c>
      <c r="AV57" s="406">
        <f t="shared" si="5"/>
        <v>60</v>
      </c>
    </row>
    <row r="58" spans="1:48" s="62" customFormat="1" ht="26.25" customHeight="1">
      <c r="A58" s="59"/>
      <c r="B58" s="60"/>
      <c r="C58" s="60"/>
      <c r="D58" s="22"/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320</v>
      </c>
      <c r="AE58" s="194">
        <v>64697.599999999999</v>
      </c>
      <c r="AF58" s="209"/>
      <c r="AG58" s="194"/>
      <c r="AH58" s="209"/>
      <c r="AI58" s="194"/>
      <c r="AJ58" s="233">
        <f t="shared" si="6"/>
        <v>320</v>
      </c>
      <c r="AK58" s="170">
        <f t="shared" si="6"/>
        <v>64697.599999999999</v>
      </c>
      <c r="AL58" s="272">
        <v>0</v>
      </c>
      <c r="AM58" s="212">
        <v>0</v>
      </c>
      <c r="AN58" s="269">
        <v>320</v>
      </c>
      <c r="AO58" s="217">
        <f t="shared" si="2"/>
        <v>64697.599999999999</v>
      </c>
      <c r="AP58" s="232"/>
      <c r="AQ58" s="229"/>
      <c r="AR58" s="212">
        <v>202.18</v>
      </c>
      <c r="AS58" s="212">
        <f t="shared" si="3"/>
        <v>0</v>
      </c>
      <c r="AT58" s="227">
        <v>320</v>
      </c>
      <c r="AU58" s="228">
        <f t="shared" si="4"/>
        <v>64697.600000000006</v>
      </c>
      <c r="AV58" s="406">
        <f t="shared" si="5"/>
        <v>320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132</v>
      </c>
      <c r="V59" s="115">
        <v>234</v>
      </c>
      <c r="W59" s="114">
        <v>43143</v>
      </c>
      <c r="X59" s="193" t="s">
        <v>143</v>
      </c>
      <c r="Y59" s="200">
        <v>43164</v>
      </c>
      <c r="Z59" s="193"/>
      <c r="AA59" s="193"/>
      <c r="AB59" s="22">
        <v>0</v>
      </c>
      <c r="AC59" s="170">
        <v>0</v>
      </c>
      <c r="AD59" s="209">
        <v>15</v>
      </c>
      <c r="AE59" s="194">
        <v>3032.7</v>
      </c>
      <c r="AF59" s="209"/>
      <c r="AG59" s="194"/>
      <c r="AH59" s="209"/>
      <c r="AI59" s="194"/>
      <c r="AJ59" s="233">
        <f t="shared" si="6"/>
        <v>15</v>
      </c>
      <c r="AK59" s="170">
        <f t="shared" si="6"/>
        <v>3032.7</v>
      </c>
      <c r="AL59" s="272">
        <v>0</v>
      </c>
      <c r="AM59" s="212">
        <v>0</v>
      </c>
      <c r="AN59" s="269">
        <v>15</v>
      </c>
      <c r="AO59" s="217">
        <f t="shared" si="2"/>
        <v>3032.7</v>
      </c>
      <c r="AP59" s="232"/>
      <c r="AQ59" s="229"/>
      <c r="AR59" s="212">
        <v>202.18</v>
      </c>
      <c r="AS59" s="212">
        <f t="shared" si="3"/>
        <v>0</v>
      </c>
      <c r="AT59" s="227">
        <v>15</v>
      </c>
      <c r="AU59" s="228">
        <f t="shared" si="4"/>
        <v>3032.7000000000003</v>
      </c>
      <c r="AV59" s="406">
        <f t="shared" si="5"/>
        <v>15</v>
      </c>
    </row>
    <row r="60" spans="1:48" s="62" customFormat="1" ht="27" customHeight="1">
      <c r="A60" s="59"/>
      <c r="B60" s="60"/>
      <c r="C60" s="60"/>
      <c r="D60" s="22"/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356</v>
      </c>
      <c r="W60" s="114">
        <v>43159</v>
      </c>
      <c r="X60" s="193" t="s">
        <v>136</v>
      </c>
      <c r="Y60" s="200">
        <v>43164</v>
      </c>
      <c r="Z60" s="193"/>
      <c r="AA60" s="193"/>
      <c r="AB60" s="22">
        <v>0</v>
      </c>
      <c r="AC60" s="170">
        <v>0</v>
      </c>
      <c r="AD60" s="209">
        <v>170</v>
      </c>
      <c r="AE60" s="194">
        <v>34370.6</v>
      </c>
      <c r="AF60" s="209"/>
      <c r="AG60" s="194"/>
      <c r="AH60" s="209"/>
      <c r="AI60" s="194"/>
      <c r="AJ60" s="233">
        <f t="shared" si="6"/>
        <v>170</v>
      </c>
      <c r="AK60" s="170">
        <f t="shared" si="6"/>
        <v>34370.6</v>
      </c>
      <c r="AL60" s="272">
        <v>0</v>
      </c>
      <c r="AM60" s="212">
        <v>0</v>
      </c>
      <c r="AN60" s="269">
        <v>170</v>
      </c>
      <c r="AO60" s="217">
        <f t="shared" si="2"/>
        <v>34370.6</v>
      </c>
      <c r="AP60" s="232"/>
      <c r="AQ60" s="229"/>
      <c r="AR60" s="212">
        <v>202.18</v>
      </c>
      <c r="AS60" s="212">
        <f t="shared" si="3"/>
        <v>0</v>
      </c>
      <c r="AT60" s="227">
        <v>170</v>
      </c>
      <c r="AU60" s="228">
        <f t="shared" si="4"/>
        <v>34370.6</v>
      </c>
      <c r="AV60" s="406">
        <f t="shared" si="5"/>
        <v>170</v>
      </c>
    </row>
    <row r="61" spans="1:48" s="62" customFormat="1" ht="27" customHeight="1">
      <c r="A61" s="59"/>
      <c r="B61" s="60"/>
      <c r="C61" s="60"/>
      <c r="D61" s="22"/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133</v>
      </c>
      <c r="V61" s="115">
        <v>260</v>
      </c>
      <c r="W61" s="114">
        <v>43145</v>
      </c>
      <c r="X61" s="193" t="s">
        <v>94</v>
      </c>
      <c r="Y61" s="200">
        <v>43164</v>
      </c>
      <c r="Z61" s="193"/>
      <c r="AA61" s="193"/>
      <c r="AB61" s="22">
        <v>0</v>
      </c>
      <c r="AC61" s="170">
        <v>0</v>
      </c>
      <c r="AD61" s="209">
        <v>665</v>
      </c>
      <c r="AE61" s="194">
        <v>134449.70000000001</v>
      </c>
      <c r="AF61" s="209"/>
      <c r="AG61" s="194"/>
      <c r="AH61" s="209"/>
      <c r="AI61" s="194"/>
      <c r="AJ61" s="233">
        <f t="shared" si="6"/>
        <v>665</v>
      </c>
      <c r="AK61" s="170">
        <f t="shared" si="6"/>
        <v>134449.70000000001</v>
      </c>
      <c r="AL61" s="272">
        <v>0</v>
      </c>
      <c r="AM61" s="212">
        <v>0</v>
      </c>
      <c r="AN61" s="269">
        <v>665</v>
      </c>
      <c r="AO61" s="217">
        <f t="shared" si="2"/>
        <v>134449.70000000001</v>
      </c>
      <c r="AP61" s="232"/>
      <c r="AQ61" s="229"/>
      <c r="AR61" s="212">
        <v>202.18</v>
      </c>
      <c r="AS61" s="212">
        <f t="shared" si="3"/>
        <v>0</v>
      </c>
      <c r="AT61" s="227">
        <v>665</v>
      </c>
      <c r="AU61" s="228">
        <f t="shared" si="4"/>
        <v>134449.70000000001</v>
      </c>
      <c r="AV61" s="406">
        <f t="shared" si="5"/>
        <v>665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68</v>
      </c>
      <c r="W62" s="114">
        <v>43116</v>
      </c>
      <c r="X62" s="193" t="s">
        <v>125</v>
      </c>
      <c r="Y62" s="200">
        <v>43130</v>
      </c>
      <c r="Z62" s="193"/>
      <c r="AA62" s="193"/>
      <c r="AB62" s="22">
        <v>0</v>
      </c>
      <c r="AC62" s="170">
        <v>0</v>
      </c>
      <c r="AD62" s="209">
        <v>335</v>
      </c>
      <c r="AE62" s="194">
        <v>67730.3</v>
      </c>
      <c r="AF62" s="209"/>
      <c r="AG62" s="194"/>
      <c r="AH62" s="209"/>
      <c r="AI62" s="194"/>
      <c r="AJ62" s="233">
        <f t="shared" si="6"/>
        <v>335</v>
      </c>
      <c r="AK62" s="170">
        <f t="shared" si="6"/>
        <v>67730.3</v>
      </c>
      <c r="AL62" s="272">
        <v>0</v>
      </c>
      <c r="AM62" s="212">
        <v>0</v>
      </c>
      <c r="AN62" s="269">
        <v>335</v>
      </c>
      <c r="AO62" s="217">
        <f t="shared" si="2"/>
        <v>67730.3</v>
      </c>
      <c r="AP62" s="232"/>
      <c r="AQ62" s="229"/>
      <c r="AR62" s="212">
        <v>202.18</v>
      </c>
      <c r="AS62" s="212">
        <f t="shared" si="3"/>
        <v>0</v>
      </c>
      <c r="AT62" s="227">
        <v>335</v>
      </c>
      <c r="AU62" s="228">
        <f t="shared" si="4"/>
        <v>67730.3</v>
      </c>
      <c r="AV62" s="406">
        <f t="shared" si="5"/>
        <v>335</v>
      </c>
    </row>
    <row r="63" spans="1:48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124</v>
      </c>
      <c r="V63" s="115">
        <v>135</v>
      </c>
      <c r="W63" s="114">
        <v>42761</v>
      </c>
      <c r="X63" s="193" t="s">
        <v>126</v>
      </c>
      <c r="Y63" s="200">
        <v>43130</v>
      </c>
      <c r="Z63" s="193"/>
      <c r="AA63" s="193"/>
      <c r="AB63" s="22">
        <v>0</v>
      </c>
      <c r="AC63" s="170">
        <v>0</v>
      </c>
      <c r="AD63" s="209">
        <v>155</v>
      </c>
      <c r="AE63" s="194">
        <v>31337.9</v>
      </c>
      <c r="AF63" s="209"/>
      <c r="AG63" s="194"/>
      <c r="AH63" s="209"/>
      <c r="AI63" s="194"/>
      <c r="AJ63" s="233">
        <f t="shared" si="6"/>
        <v>155</v>
      </c>
      <c r="AK63" s="170">
        <f t="shared" si="6"/>
        <v>31337.9</v>
      </c>
      <c r="AL63" s="272">
        <v>0</v>
      </c>
      <c r="AM63" s="212">
        <v>0</v>
      </c>
      <c r="AN63" s="269">
        <v>155</v>
      </c>
      <c r="AO63" s="217">
        <f t="shared" si="2"/>
        <v>31337.9</v>
      </c>
      <c r="AP63" s="232"/>
      <c r="AQ63" s="229"/>
      <c r="AR63" s="212">
        <v>202.18</v>
      </c>
      <c r="AS63" s="212">
        <f t="shared" si="3"/>
        <v>0</v>
      </c>
      <c r="AT63" s="227">
        <v>155</v>
      </c>
      <c r="AU63" s="228">
        <f t="shared" si="4"/>
        <v>31337.9</v>
      </c>
      <c r="AV63" s="406">
        <f t="shared" si="5"/>
        <v>155</v>
      </c>
    </row>
    <row r="64" spans="1:48" s="62" customFormat="1" ht="26.25" customHeight="1">
      <c r="A64" s="59"/>
      <c r="B64" s="60"/>
      <c r="C64" s="60"/>
      <c r="D64" s="22"/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132</v>
      </c>
      <c r="V64" s="115">
        <v>108</v>
      </c>
      <c r="W64" s="114">
        <v>43119</v>
      </c>
      <c r="X64" s="193" t="s">
        <v>131</v>
      </c>
      <c r="Y64" s="200">
        <v>43130</v>
      </c>
      <c r="Z64" s="193"/>
      <c r="AA64" s="193"/>
      <c r="AB64" s="22">
        <v>0</v>
      </c>
      <c r="AC64" s="170">
        <v>0</v>
      </c>
      <c r="AD64" s="209">
        <v>340</v>
      </c>
      <c r="AE64" s="194">
        <v>68741.2</v>
      </c>
      <c r="AF64" s="209"/>
      <c r="AG64" s="194"/>
      <c r="AH64" s="209"/>
      <c r="AI64" s="194"/>
      <c r="AJ64" s="233">
        <f t="shared" si="6"/>
        <v>340</v>
      </c>
      <c r="AK64" s="170">
        <f t="shared" si="6"/>
        <v>68741.2</v>
      </c>
      <c r="AL64" s="272">
        <v>0</v>
      </c>
      <c r="AM64" s="212">
        <v>0</v>
      </c>
      <c r="AN64" s="269">
        <v>340</v>
      </c>
      <c r="AO64" s="217">
        <f t="shared" si="2"/>
        <v>68741.2</v>
      </c>
      <c r="AP64" s="232"/>
      <c r="AQ64" s="229"/>
      <c r="AR64" s="212">
        <v>202.18</v>
      </c>
      <c r="AS64" s="212">
        <f t="shared" si="3"/>
        <v>0</v>
      </c>
      <c r="AT64" s="227">
        <v>340</v>
      </c>
      <c r="AU64" s="228">
        <f t="shared" si="4"/>
        <v>68741.2</v>
      </c>
      <c r="AV64" s="406">
        <f t="shared" si="5"/>
        <v>340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659</v>
      </c>
      <c r="W65" s="114">
        <v>43201</v>
      </c>
      <c r="X65" s="193" t="s">
        <v>159</v>
      </c>
      <c r="Y65" s="200">
        <v>43213</v>
      </c>
      <c r="Z65" s="193" t="s">
        <v>160</v>
      </c>
      <c r="AA65" s="200">
        <v>43255</v>
      </c>
      <c r="AB65" s="22">
        <v>0</v>
      </c>
      <c r="AC65" s="170">
        <v>0</v>
      </c>
      <c r="AD65" s="209">
        <v>245</v>
      </c>
      <c r="AE65" s="194">
        <v>49534.1</v>
      </c>
      <c r="AF65" s="209"/>
      <c r="AG65" s="194"/>
      <c r="AH65" s="209"/>
      <c r="AI65" s="194"/>
      <c r="AJ65" s="233">
        <f t="shared" si="6"/>
        <v>245</v>
      </c>
      <c r="AK65" s="170">
        <f t="shared" si="6"/>
        <v>49534.1</v>
      </c>
      <c r="AL65" s="272">
        <v>0</v>
      </c>
      <c r="AM65" s="212">
        <v>0</v>
      </c>
      <c r="AN65" s="269">
        <v>245</v>
      </c>
      <c r="AO65" s="217">
        <f t="shared" si="2"/>
        <v>49534.1</v>
      </c>
      <c r="AP65" s="232"/>
      <c r="AQ65" s="229"/>
      <c r="AR65" s="212">
        <v>202.18</v>
      </c>
      <c r="AS65" s="212">
        <f t="shared" si="3"/>
        <v>0</v>
      </c>
      <c r="AT65" s="227">
        <v>245</v>
      </c>
      <c r="AU65" s="228">
        <f t="shared" si="4"/>
        <v>49534.1</v>
      </c>
      <c r="AV65" s="406">
        <f t="shared" si="5"/>
        <v>245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834</v>
      </c>
      <c r="W66" s="114">
        <v>43222</v>
      </c>
      <c r="X66" s="193" t="s">
        <v>162</v>
      </c>
      <c r="Y66" s="200">
        <v>43242</v>
      </c>
      <c r="Z66" s="193"/>
      <c r="AA66" s="193"/>
      <c r="AB66" s="22">
        <v>0</v>
      </c>
      <c r="AC66" s="170">
        <v>0</v>
      </c>
      <c r="AD66" s="209">
        <v>555</v>
      </c>
      <c r="AE66" s="194">
        <v>112209.9</v>
      </c>
      <c r="AF66" s="209"/>
      <c r="AG66" s="194"/>
      <c r="AH66" s="209"/>
      <c r="AI66" s="194"/>
      <c r="AJ66" s="233">
        <f t="shared" si="6"/>
        <v>555</v>
      </c>
      <c r="AK66" s="170">
        <f t="shared" si="6"/>
        <v>112209.9</v>
      </c>
      <c r="AL66" s="272">
        <v>0</v>
      </c>
      <c r="AM66" s="212">
        <v>0</v>
      </c>
      <c r="AN66" s="269">
        <v>555</v>
      </c>
      <c r="AO66" s="217">
        <f t="shared" si="2"/>
        <v>112209.9</v>
      </c>
      <c r="AP66" s="232"/>
      <c r="AQ66" s="229"/>
      <c r="AR66" s="212">
        <v>202.18</v>
      </c>
      <c r="AS66" s="212">
        <f t="shared" si="3"/>
        <v>0</v>
      </c>
      <c r="AT66" s="227">
        <v>555</v>
      </c>
      <c r="AU66" s="228">
        <f t="shared" si="4"/>
        <v>112209.90000000001</v>
      </c>
      <c r="AV66" s="406">
        <f t="shared" si="5"/>
        <v>555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45</v>
      </c>
      <c r="AE67" s="194">
        <v>8820</v>
      </c>
      <c r="AF67" s="209"/>
      <c r="AG67" s="194"/>
      <c r="AH67" s="209"/>
      <c r="AI67" s="194"/>
      <c r="AJ67" s="233">
        <f t="shared" si="6"/>
        <v>45</v>
      </c>
      <c r="AK67" s="170">
        <f t="shared" si="6"/>
        <v>8820</v>
      </c>
      <c r="AL67" s="272">
        <v>0</v>
      </c>
      <c r="AM67" s="212">
        <v>0</v>
      </c>
      <c r="AN67" s="269">
        <v>45</v>
      </c>
      <c r="AO67" s="217">
        <f t="shared" si="2"/>
        <v>8820</v>
      </c>
      <c r="AP67" s="232"/>
      <c r="AQ67" s="229"/>
      <c r="AR67" s="212">
        <v>196</v>
      </c>
      <c r="AS67" s="212">
        <f t="shared" si="3"/>
        <v>0</v>
      </c>
      <c r="AT67" s="227">
        <v>45</v>
      </c>
      <c r="AU67" s="228">
        <f t="shared" si="4"/>
        <v>8820</v>
      </c>
      <c r="AV67" s="406">
        <f t="shared" si="5"/>
        <v>45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1006</v>
      </c>
      <c r="W68" s="114">
        <v>43244</v>
      </c>
      <c r="X68" s="193" t="s">
        <v>179</v>
      </c>
      <c r="Y68" s="200">
        <v>43285</v>
      </c>
      <c r="Z68" s="193"/>
      <c r="AA68" s="193"/>
      <c r="AB68" s="22">
        <v>0</v>
      </c>
      <c r="AC68" s="170">
        <v>0</v>
      </c>
      <c r="AD68" s="209">
        <v>55</v>
      </c>
      <c r="AE68" s="194">
        <v>11119.9</v>
      </c>
      <c r="AF68" s="209"/>
      <c r="AG68" s="194"/>
      <c r="AH68" s="209"/>
      <c r="AI68" s="194"/>
      <c r="AJ68" s="233">
        <f t="shared" si="6"/>
        <v>55</v>
      </c>
      <c r="AK68" s="170">
        <f t="shared" si="6"/>
        <v>11119.9</v>
      </c>
      <c r="AL68" s="272">
        <v>0</v>
      </c>
      <c r="AM68" s="212">
        <v>0</v>
      </c>
      <c r="AN68" s="269">
        <v>55</v>
      </c>
      <c r="AO68" s="217">
        <f t="shared" si="2"/>
        <v>11119.9</v>
      </c>
      <c r="AP68" s="232"/>
      <c r="AQ68" s="229"/>
      <c r="AR68" s="212">
        <v>202.18</v>
      </c>
      <c r="AS68" s="212">
        <f t="shared" si="3"/>
        <v>0</v>
      </c>
      <c r="AT68" s="227">
        <v>55</v>
      </c>
      <c r="AU68" s="228">
        <f t="shared" si="4"/>
        <v>11119.9</v>
      </c>
      <c r="AV68" s="406">
        <f t="shared" si="5"/>
        <v>55</v>
      </c>
    </row>
    <row r="69" spans="1:48" s="62" customFormat="1" ht="26.25" customHeight="1">
      <c r="A69" s="59"/>
      <c r="B69" s="60"/>
      <c r="C69" s="60"/>
      <c r="D69" s="22"/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175</v>
      </c>
      <c r="V69" s="115">
        <v>877</v>
      </c>
      <c r="W69" s="114">
        <v>43230</v>
      </c>
      <c r="X69" s="193" t="s">
        <v>174</v>
      </c>
      <c r="Y69" s="200">
        <v>43285</v>
      </c>
      <c r="Z69" s="193"/>
      <c r="AA69" s="193"/>
      <c r="AB69" s="22">
        <v>0</v>
      </c>
      <c r="AC69" s="170">
        <v>0</v>
      </c>
      <c r="AD69" s="209">
        <v>210</v>
      </c>
      <c r="AE69" s="194">
        <v>42457.8</v>
      </c>
      <c r="AF69" s="209"/>
      <c r="AG69" s="194"/>
      <c r="AH69" s="209"/>
      <c r="AI69" s="194"/>
      <c r="AJ69" s="233">
        <f t="shared" si="6"/>
        <v>210</v>
      </c>
      <c r="AK69" s="170">
        <f t="shared" si="6"/>
        <v>42457.8</v>
      </c>
      <c r="AL69" s="272">
        <v>0</v>
      </c>
      <c r="AM69" s="212">
        <v>0</v>
      </c>
      <c r="AN69" s="269">
        <v>210</v>
      </c>
      <c r="AO69" s="217">
        <f t="shared" si="2"/>
        <v>42457.8</v>
      </c>
      <c r="AP69" s="232"/>
      <c r="AQ69" s="229"/>
      <c r="AR69" s="212">
        <v>202.18</v>
      </c>
      <c r="AS69" s="212">
        <f t="shared" si="3"/>
        <v>0</v>
      </c>
      <c r="AT69" s="227">
        <v>210</v>
      </c>
      <c r="AU69" s="228">
        <f t="shared" si="4"/>
        <v>42457.8</v>
      </c>
      <c r="AV69" s="406">
        <f t="shared" si="5"/>
        <v>210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161</v>
      </c>
      <c r="V70" s="115">
        <v>1053</v>
      </c>
      <c r="W70" s="114">
        <v>43255</v>
      </c>
      <c r="X70" s="193" t="s">
        <v>177</v>
      </c>
      <c r="Y70" s="200">
        <v>43285</v>
      </c>
      <c r="Z70" s="193" t="s">
        <v>178</v>
      </c>
      <c r="AA70" s="200">
        <v>43269</v>
      </c>
      <c r="AB70" s="22">
        <v>0</v>
      </c>
      <c r="AC70" s="170">
        <v>0</v>
      </c>
      <c r="AD70" s="209">
        <v>105</v>
      </c>
      <c r="AE70" s="194">
        <v>21228.9</v>
      </c>
      <c r="AF70" s="209"/>
      <c r="AG70" s="194"/>
      <c r="AH70" s="209"/>
      <c r="AI70" s="194"/>
      <c r="AJ70" s="233">
        <f t="shared" si="6"/>
        <v>105</v>
      </c>
      <c r="AK70" s="170">
        <f t="shared" si="6"/>
        <v>21228.9</v>
      </c>
      <c r="AL70" s="272">
        <v>0</v>
      </c>
      <c r="AM70" s="212">
        <v>0</v>
      </c>
      <c r="AN70" s="269">
        <v>105</v>
      </c>
      <c r="AO70" s="217">
        <f t="shared" si="2"/>
        <v>21228.9</v>
      </c>
      <c r="AP70" s="232"/>
      <c r="AQ70" s="229"/>
      <c r="AR70" s="212">
        <v>202.18</v>
      </c>
      <c r="AS70" s="212">
        <f t="shared" si="3"/>
        <v>0</v>
      </c>
      <c r="AT70" s="227">
        <v>105</v>
      </c>
      <c r="AU70" s="228">
        <f t="shared" si="4"/>
        <v>21228.9</v>
      </c>
      <c r="AV70" s="406">
        <f t="shared" si="5"/>
        <v>105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187</v>
      </c>
      <c r="V71" s="115">
        <v>1418</v>
      </c>
      <c r="W71" s="114">
        <v>43312</v>
      </c>
      <c r="X71" s="193" t="s">
        <v>184</v>
      </c>
      <c r="Y71" s="200">
        <v>43332</v>
      </c>
      <c r="Z71" s="193" t="s">
        <v>185</v>
      </c>
      <c r="AA71" s="200">
        <v>43320</v>
      </c>
      <c r="AB71" s="22">
        <v>0</v>
      </c>
      <c r="AC71" s="170">
        <v>0</v>
      </c>
      <c r="AD71" s="209">
        <v>30</v>
      </c>
      <c r="AE71" s="194">
        <v>5880</v>
      </c>
      <c r="AF71" s="209"/>
      <c r="AG71" s="194"/>
      <c r="AH71" s="209"/>
      <c r="AI71" s="194"/>
      <c r="AJ71" s="233">
        <f t="shared" si="6"/>
        <v>30</v>
      </c>
      <c r="AK71" s="170">
        <f t="shared" si="6"/>
        <v>5880</v>
      </c>
      <c r="AL71" s="272">
        <v>0</v>
      </c>
      <c r="AM71" s="212">
        <v>0</v>
      </c>
      <c r="AN71" s="269">
        <v>30</v>
      </c>
      <c r="AO71" s="217">
        <v>0</v>
      </c>
      <c r="AP71" s="232"/>
      <c r="AQ71" s="229"/>
      <c r="AR71" s="212">
        <v>196</v>
      </c>
      <c r="AS71" s="212">
        <f t="shared" si="3"/>
        <v>0</v>
      </c>
      <c r="AT71" s="227">
        <v>30</v>
      </c>
      <c r="AU71" s="228">
        <f t="shared" si="4"/>
        <v>5880</v>
      </c>
      <c r="AV71" s="406">
        <f t="shared" si="5"/>
        <v>30</v>
      </c>
    </row>
    <row r="72" spans="1:48" s="62" customFormat="1" ht="26.25" customHeight="1">
      <c r="A72" s="59"/>
      <c r="B72" s="60"/>
      <c r="C72" s="60"/>
      <c r="D72" s="22"/>
      <c r="E72" s="79"/>
      <c r="F72" s="53" t="s">
        <v>65</v>
      </c>
      <c r="G72" s="222" t="s">
        <v>111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/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3">
        <v>30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30</v>
      </c>
      <c r="AU72" s="228"/>
      <c r="AV72" s="406">
        <f t="shared" si="5"/>
        <v>30</v>
      </c>
    </row>
    <row r="73" spans="1:48" s="62" customFormat="1" ht="26.25" customHeight="1">
      <c r="A73" s="59"/>
      <c r="B73" s="60"/>
      <c r="C73" s="60"/>
      <c r="D73" s="22"/>
      <c r="E73" s="79" t="s">
        <v>24</v>
      </c>
      <c r="F73" s="51" t="s">
        <v>68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>
        <v>250</v>
      </c>
      <c r="P73" s="276">
        <v>66042.58</v>
      </c>
      <c r="Q73" s="115"/>
      <c r="R73" s="276"/>
      <c r="S73" s="115"/>
      <c r="T73" s="276"/>
      <c r="U73" s="278" t="s">
        <v>181</v>
      </c>
      <c r="V73" s="115">
        <v>1405</v>
      </c>
      <c r="W73" s="114">
        <v>43052</v>
      </c>
      <c r="X73" s="115" t="s">
        <v>182</v>
      </c>
      <c r="Y73" s="221">
        <v>43201</v>
      </c>
      <c r="Z73" s="115"/>
      <c r="AA73" s="115"/>
      <c r="AB73" s="22">
        <v>0</v>
      </c>
      <c r="AC73" s="170">
        <v>0</v>
      </c>
      <c r="AD73" s="208">
        <v>125</v>
      </c>
      <c r="AE73" s="170">
        <v>26255</v>
      </c>
      <c r="AF73" s="208"/>
      <c r="AG73" s="170"/>
      <c r="AH73" s="208"/>
      <c r="AI73" s="170"/>
      <c r="AJ73" s="233">
        <f t="shared" si="6"/>
        <v>125</v>
      </c>
      <c r="AK73" s="170">
        <f t="shared" si="6"/>
        <v>26255</v>
      </c>
      <c r="AL73" s="270">
        <f>63+62</f>
        <v>125</v>
      </c>
      <c r="AM73" s="170">
        <v>26255</v>
      </c>
      <c r="AN73" s="270">
        <v>0</v>
      </c>
      <c r="AO73" s="170">
        <f t="shared" si="2"/>
        <v>0</v>
      </c>
      <c r="AP73" s="233"/>
      <c r="AQ73" s="233"/>
      <c r="AR73" s="170">
        <v>210.04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/>
      <c r="E74" s="79" t="s">
        <v>24</v>
      </c>
      <c r="F74" s="51" t="s">
        <v>68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145</v>
      </c>
      <c r="V74" s="115">
        <v>1381</v>
      </c>
      <c r="W74" s="114">
        <v>43047</v>
      </c>
      <c r="X74" s="115" t="s">
        <v>144</v>
      </c>
      <c r="Y74" s="221">
        <v>43201</v>
      </c>
      <c r="Z74" s="115"/>
      <c r="AA74" s="115"/>
      <c r="AB74" s="22">
        <v>0</v>
      </c>
      <c r="AC74" s="170">
        <v>0</v>
      </c>
      <c r="AD74" s="208">
        <v>80</v>
      </c>
      <c r="AE74" s="170">
        <v>16803.2</v>
      </c>
      <c r="AF74" s="208"/>
      <c r="AG74" s="170"/>
      <c r="AH74" s="208"/>
      <c r="AI74" s="170"/>
      <c r="AJ74" s="233">
        <f t="shared" si="6"/>
        <v>80</v>
      </c>
      <c r="AK74" s="170">
        <f t="shared" si="6"/>
        <v>16803.2</v>
      </c>
      <c r="AL74" s="270">
        <v>80</v>
      </c>
      <c r="AM74" s="170">
        <v>16803.2</v>
      </c>
      <c r="AN74" s="270">
        <v>0</v>
      </c>
      <c r="AO74" s="170">
        <f t="shared" si="2"/>
        <v>0</v>
      </c>
      <c r="AP74" s="233"/>
      <c r="AQ74" s="233"/>
      <c r="AR74" s="170">
        <f>AM74/AL74</f>
        <v>210.04000000000002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/>
      <c r="E75" s="79" t="s">
        <v>24</v>
      </c>
      <c r="F75" s="51" t="s">
        <v>68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148</v>
      </c>
      <c r="V75" s="115">
        <v>546</v>
      </c>
      <c r="W75" s="114">
        <v>43182</v>
      </c>
      <c r="X75" s="115" t="s">
        <v>149</v>
      </c>
      <c r="Y75" s="221">
        <v>43201</v>
      </c>
      <c r="Z75" s="115" t="s">
        <v>147</v>
      </c>
      <c r="AA75" s="221">
        <v>43252</v>
      </c>
      <c r="AB75" s="22">
        <v>0</v>
      </c>
      <c r="AC75" s="170">
        <v>0</v>
      </c>
      <c r="AD75" s="208">
        <v>10</v>
      </c>
      <c r="AE75" s="170">
        <v>2038.7</v>
      </c>
      <c r="AF75" s="208"/>
      <c r="AG75" s="170"/>
      <c r="AH75" s="208"/>
      <c r="AI75" s="170"/>
      <c r="AJ75" s="233">
        <f t="shared" si="6"/>
        <v>10</v>
      </c>
      <c r="AK75" s="170">
        <f t="shared" si="6"/>
        <v>2038.7</v>
      </c>
      <c r="AL75" s="270">
        <v>10</v>
      </c>
      <c r="AM75" s="170">
        <v>2038.7</v>
      </c>
      <c r="AN75" s="270">
        <v>0</v>
      </c>
      <c r="AO75" s="170">
        <f t="shared" si="2"/>
        <v>0</v>
      </c>
      <c r="AP75" s="233"/>
      <c r="AQ75" s="233"/>
      <c r="AR75" s="170">
        <f>AM75/AL75</f>
        <v>203.87</v>
      </c>
      <c r="AS75" s="170">
        <f t="shared" si="3"/>
        <v>0</v>
      </c>
      <c r="AT75" s="208">
        <v>0</v>
      </c>
      <c r="AU75" s="170">
        <f t="shared" si="4"/>
        <v>0</v>
      </c>
      <c r="AV75" s="233">
        <f t="shared" si="5"/>
        <v>0</v>
      </c>
    </row>
    <row r="76" spans="1:48" s="62" customFormat="1" ht="26.25" customHeight="1">
      <c r="A76" s="59"/>
      <c r="B76" s="60"/>
      <c r="C76" s="60"/>
      <c r="D76" s="22"/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834</v>
      </c>
      <c r="W76" s="114">
        <v>43222</v>
      </c>
      <c r="X76" s="193" t="s">
        <v>162</v>
      </c>
      <c r="Y76" s="200">
        <v>43242</v>
      </c>
      <c r="Z76" s="193"/>
      <c r="AA76" s="193"/>
      <c r="AB76" s="22">
        <v>0</v>
      </c>
      <c r="AC76" s="170">
        <v>0</v>
      </c>
      <c r="AD76" s="209">
        <v>10</v>
      </c>
      <c r="AE76" s="194">
        <v>2100.4</v>
      </c>
      <c r="AF76" s="209"/>
      <c r="AG76" s="194"/>
      <c r="AH76" s="209"/>
      <c r="AI76" s="194"/>
      <c r="AJ76" s="233">
        <f t="shared" si="6"/>
        <v>10</v>
      </c>
      <c r="AK76" s="170">
        <f t="shared" si="6"/>
        <v>2100.4</v>
      </c>
      <c r="AL76" s="272">
        <v>0</v>
      </c>
      <c r="AM76" s="212">
        <v>0</v>
      </c>
      <c r="AN76" s="269">
        <v>10</v>
      </c>
      <c r="AO76" s="217">
        <f t="shared" si="2"/>
        <v>2100.4</v>
      </c>
      <c r="AP76" s="232"/>
      <c r="AQ76" s="229"/>
      <c r="AR76" s="212">
        <v>210.04</v>
      </c>
      <c r="AS76" s="212">
        <f t="shared" si="3"/>
        <v>0</v>
      </c>
      <c r="AT76" s="227">
        <v>10</v>
      </c>
      <c r="AU76" s="228">
        <f t="shared" si="4"/>
        <v>2100.4</v>
      </c>
      <c r="AV76" s="406">
        <f t="shared" si="5"/>
        <v>10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62" t="s">
        <v>68</v>
      </c>
      <c r="G77" s="222" t="s">
        <v>146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148</v>
      </c>
      <c r="V77" s="115">
        <v>1006</v>
      </c>
      <c r="W77" s="114">
        <v>43244</v>
      </c>
      <c r="X77" s="193" t="s">
        <v>179</v>
      </c>
      <c r="Y77" s="200">
        <v>43285</v>
      </c>
      <c r="Z77" s="193"/>
      <c r="AA77" s="193"/>
      <c r="AB77" s="22">
        <v>0</v>
      </c>
      <c r="AC77" s="170">
        <v>0</v>
      </c>
      <c r="AD77" s="209">
        <v>5</v>
      </c>
      <c r="AE77" s="194">
        <v>1019.35</v>
      </c>
      <c r="AF77" s="209"/>
      <c r="AG77" s="194"/>
      <c r="AH77" s="209"/>
      <c r="AI77" s="194"/>
      <c r="AJ77" s="233">
        <f t="shared" si="6"/>
        <v>5</v>
      </c>
      <c r="AK77" s="170">
        <f t="shared" si="6"/>
        <v>1019.35</v>
      </c>
      <c r="AL77" s="272">
        <v>0</v>
      </c>
      <c r="AM77" s="212">
        <v>0</v>
      </c>
      <c r="AN77" s="269">
        <v>5</v>
      </c>
      <c r="AO77" s="217">
        <f t="shared" si="2"/>
        <v>1019.35</v>
      </c>
      <c r="AP77" s="232"/>
      <c r="AQ77" s="229"/>
      <c r="AR77" s="212">
        <v>203.87</v>
      </c>
      <c r="AS77" s="212">
        <f t="shared" si="3"/>
        <v>0</v>
      </c>
      <c r="AT77" s="227">
        <v>5</v>
      </c>
      <c r="AU77" s="228">
        <f t="shared" si="4"/>
        <v>1019.35</v>
      </c>
      <c r="AV77" s="406">
        <f t="shared" si="5"/>
        <v>5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51" t="s">
        <v>55</v>
      </c>
      <c r="G78" s="275" t="s">
        <v>114</v>
      </c>
      <c r="H78" s="115" t="s">
        <v>91</v>
      </c>
      <c r="I78" s="115" t="s">
        <v>91</v>
      </c>
      <c r="J78" s="115">
        <v>360</v>
      </c>
      <c r="K78" s="115">
        <v>1</v>
      </c>
      <c r="L78" s="276">
        <v>303.16000000000003</v>
      </c>
      <c r="M78" s="277">
        <f t="shared" si="0"/>
        <v>360</v>
      </c>
      <c r="N78" s="276">
        <f t="shared" si="1"/>
        <v>109137.60000000001</v>
      </c>
      <c r="O78" s="115">
        <v>180</v>
      </c>
      <c r="P78" s="276">
        <v>49667.4</v>
      </c>
      <c r="Q78" s="115">
        <v>360</v>
      </c>
      <c r="R78" s="276">
        <v>107470.8</v>
      </c>
      <c r="S78" s="115">
        <v>90</v>
      </c>
      <c r="T78" s="276">
        <v>27284.400000000001</v>
      </c>
      <c r="U78" s="278" t="s">
        <v>115</v>
      </c>
      <c r="V78" s="115">
        <v>1583</v>
      </c>
      <c r="W78" s="114">
        <v>43082</v>
      </c>
      <c r="X78" s="115" t="s">
        <v>113</v>
      </c>
      <c r="Y78" s="221">
        <v>43109</v>
      </c>
      <c r="Z78" s="115" t="s">
        <v>110</v>
      </c>
      <c r="AA78" s="221">
        <v>43111</v>
      </c>
      <c r="AB78" s="22">
        <v>0</v>
      </c>
      <c r="AC78" s="170">
        <v>0</v>
      </c>
      <c r="AD78" s="208">
        <v>8</v>
      </c>
      <c r="AE78" s="170">
        <v>2388</v>
      </c>
      <c r="AF78" s="208"/>
      <c r="AG78" s="170"/>
      <c r="AH78" s="208"/>
      <c r="AI78" s="170"/>
      <c r="AJ78" s="233">
        <f t="shared" si="6"/>
        <v>8</v>
      </c>
      <c r="AK78" s="170">
        <f t="shared" si="6"/>
        <v>2388</v>
      </c>
      <c r="AL78" s="270">
        <v>0</v>
      </c>
      <c r="AM78" s="170">
        <v>0</v>
      </c>
      <c r="AN78" s="270">
        <v>8</v>
      </c>
      <c r="AO78" s="170">
        <f t="shared" si="2"/>
        <v>2388</v>
      </c>
      <c r="AP78" s="233"/>
      <c r="AQ78" s="233"/>
      <c r="AR78" s="170">
        <v>298.5</v>
      </c>
      <c r="AS78" s="170">
        <f t="shared" si="3"/>
        <v>0</v>
      </c>
      <c r="AT78" s="233">
        <f>8-8</f>
        <v>0</v>
      </c>
      <c r="AU78" s="386">
        <f t="shared" si="4"/>
        <v>0</v>
      </c>
      <c r="AV78" s="233">
        <f t="shared" si="5"/>
        <v>0</v>
      </c>
    </row>
    <row r="79" spans="1:48" s="62" customFormat="1" ht="25.5" customHeight="1">
      <c r="A79" s="59"/>
      <c r="B79" s="60"/>
      <c r="C79" s="60"/>
      <c r="D79" s="22"/>
      <c r="E79" s="79" t="s">
        <v>24</v>
      </c>
      <c r="F79" s="51" t="s">
        <v>55</v>
      </c>
      <c r="G79" s="275" t="s">
        <v>114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/>
      <c r="P79" s="276"/>
      <c r="Q79" s="115"/>
      <c r="R79" s="276"/>
      <c r="S79" s="115"/>
      <c r="T79" s="276"/>
      <c r="U79" s="278" t="s">
        <v>137</v>
      </c>
      <c r="V79" s="115">
        <v>427</v>
      </c>
      <c r="W79" s="114">
        <v>43164</v>
      </c>
      <c r="X79" s="115" t="s">
        <v>138</v>
      </c>
      <c r="Y79" s="221">
        <v>43164</v>
      </c>
      <c r="Z79" s="115"/>
      <c r="AA79" s="115"/>
      <c r="AB79" s="22">
        <v>0</v>
      </c>
      <c r="AC79" s="170">
        <v>0</v>
      </c>
      <c r="AD79" s="208">
        <v>34</v>
      </c>
      <c r="AE79" s="170">
        <v>10149</v>
      </c>
      <c r="AF79" s="208"/>
      <c r="AG79" s="170"/>
      <c r="AH79" s="208"/>
      <c r="AI79" s="170"/>
      <c r="AJ79" s="233">
        <f t="shared" si="6"/>
        <v>34</v>
      </c>
      <c r="AK79" s="170">
        <f t="shared" si="6"/>
        <v>10149</v>
      </c>
      <c r="AL79" s="270">
        <v>0</v>
      </c>
      <c r="AM79" s="170">
        <v>0</v>
      </c>
      <c r="AN79" s="270">
        <v>34</v>
      </c>
      <c r="AO79" s="170">
        <f t="shared" si="2"/>
        <v>10149</v>
      </c>
      <c r="AP79" s="233"/>
      <c r="AQ79" s="233"/>
      <c r="AR79" s="170">
        <v>298.5</v>
      </c>
      <c r="AS79" s="170">
        <f t="shared" si="3"/>
        <v>0</v>
      </c>
      <c r="AT79" s="233">
        <f>34-34</f>
        <v>0</v>
      </c>
      <c r="AU79" s="386">
        <f t="shared" si="4"/>
        <v>0</v>
      </c>
      <c r="AV79" s="233">
        <f t="shared" si="5"/>
        <v>0</v>
      </c>
    </row>
    <row r="80" spans="1:48" s="62" customFormat="1" ht="25.5" customHeight="1">
      <c r="A80" s="59"/>
      <c r="B80" s="60"/>
      <c r="C80" s="60"/>
      <c r="D80" s="22"/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153</v>
      </c>
      <c r="V80" s="115">
        <v>613</v>
      </c>
      <c r="W80" s="114">
        <v>43193</v>
      </c>
      <c r="X80" s="193">
        <v>97</v>
      </c>
      <c r="Y80" s="200">
        <v>43202</v>
      </c>
      <c r="Z80" s="193" t="s">
        <v>154</v>
      </c>
      <c r="AA80" s="200">
        <v>43214</v>
      </c>
      <c r="AB80" s="22">
        <v>0</v>
      </c>
      <c r="AC80" s="170">
        <v>0</v>
      </c>
      <c r="AD80" s="209">
        <v>270</v>
      </c>
      <c r="AE80" s="194">
        <v>80595</v>
      </c>
      <c r="AF80" s="209"/>
      <c r="AG80" s="194"/>
      <c r="AH80" s="209"/>
      <c r="AI80" s="194"/>
      <c r="AJ80" s="233">
        <f t="shared" si="6"/>
        <v>270</v>
      </c>
      <c r="AK80" s="170">
        <f t="shared" si="6"/>
        <v>80595</v>
      </c>
      <c r="AL80" s="272">
        <v>0</v>
      </c>
      <c r="AM80" s="212">
        <v>0</v>
      </c>
      <c r="AN80" s="269">
        <v>270</v>
      </c>
      <c r="AO80" s="217">
        <f t="shared" si="2"/>
        <v>80595</v>
      </c>
      <c r="AP80" s="232"/>
      <c r="AQ80" s="229"/>
      <c r="AR80" s="212">
        <v>298.5</v>
      </c>
      <c r="AS80" s="212">
        <f t="shared" si="3"/>
        <v>0</v>
      </c>
      <c r="AT80" s="227">
        <f>270-16</f>
        <v>254</v>
      </c>
      <c r="AU80" s="228">
        <f t="shared" si="4"/>
        <v>75819</v>
      </c>
      <c r="AV80" s="406">
        <f t="shared" si="5"/>
        <v>254</v>
      </c>
    </row>
    <row r="81" spans="1:48" s="62" customFormat="1" ht="25.5" customHeight="1">
      <c r="A81" s="59"/>
      <c r="B81" s="60"/>
      <c r="C81" s="60"/>
      <c r="D81" s="22"/>
      <c r="E81" s="79" t="s">
        <v>24</v>
      </c>
      <c r="F81" s="140" t="s">
        <v>55</v>
      </c>
      <c r="G81" s="222" t="s">
        <v>114</v>
      </c>
      <c r="H81" s="193" t="s">
        <v>91</v>
      </c>
      <c r="I81" s="193" t="s">
        <v>91</v>
      </c>
      <c r="J81" s="193"/>
      <c r="K81" s="193"/>
      <c r="L81" s="243"/>
      <c r="M81" s="242">
        <f t="shared" si="0"/>
        <v>0</v>
      </c>
      <c r="N81" s="243">
        <f t="shared" si="1"/>
        <v>0</v>
      </c>
      <c r="O81" s="193"/>
      <c r="P81" s="243"/>
      <c r="Q81" s="193"/>
      <c r="R81" s="243"/>
      <c r="S81" s="193"/>
      <c r="T81" s="243"/>
      <c r="U81" s="203" t="s">
        <v>115</v>
      </c>
      <c r="V81" s="115">
        <v>612</v>
      </c>
      <c r="W81" s="114">
        <v>43193</v>
      </c>
      <c r="X81" s="193">
        <v>97</v>
      </c>
      <c r="Y81" s="200">
        <v>43202</v>
      </c>
      <c r="Z81" s="193" t="s">
        <v>155</v>
      </c>
      <c r="AA81" s="200">
        <v>43214</v>
      </c>
      <c r="AB81" s="22">
        <v>0</v>
      </c>
      <c r="AC81" s="170">
        <v>0</v>
      </c>
      <c r="AD81" s="209">
        <v>40</v>
      </c>
      <c r="AE81" s="194">
        <v>11940</v>
      </c>
      <c r="AF81" s="209"/>
      <c r="AG81" s="194"/>
      <c r="AH81" s="209"/>
      <c r="AI81" s="194"/>
      <c r="AJ81" s="233">
        <f t="shared" si="6"/>
        <v>40</v>
      </c>
      <c r="AK81" s="170">
        <f t="shared" si="6"/>
        <v>11940</v>
      </c>
      <c r="AL81" s="272">
        <v>0</v>
      </c>
      <c r="AM81" s="212">
        <v>0</v>
      </c>
      <c r="AN81" s="269">
        <v>40</v>
      </c>
      <c r="AO81" s="217">
        <f t="shared" si="2"/>
        <v>11940</v>
      </c>
      <c r="AP81" s="232"/>
      <c r="AQ81" s="229"/>
      <c r="AR81" s="212">
        <v>298.5</v>
      </c>
      <c r="AS81" s="212">
        <f t="shared" si="3"/>
        <v>0</v>
      </c>
      <c r="AT81" s="227">
        <v>40</v>
      </c>
      <c r="AU81" s="228">
        <f t="shared" si="4"/>
        <v>11940</v>
      </c>
      <c r="AV81" s="406">
        <f t="shared" si="5"/>
        <v>40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244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3">
        <v>6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6</v>
      </c>
      <c r="AU82" s="228"/>
      <c r="AV82" s="406">
        <f t="shared" si="5"/>
        <v>6</v>
      </c>
    </row>
    <row r="83" spans="1:48" s="62" customFormat="1" ht="25.5" customHeight="1">
      <c r="A83" s="59"/>
      <c r="B83" s="60"/>
      <c r="C83" s="60"/>
      <c r="D83" s="22"/>
      <c r="E83" s="79" t="s">
        <v>24</v>
      </c>
      <c r="F83" s="51" t="s">
        <v>64</v>
      </c>
      <c r="G83" s="275" t="s">
        <v>140</v>
      </c>
      <c r="H83" s="115" t="s">
        <v>91</v>
      </c>
      <c r="I83" s="115" t="s">
        <v>91</v>
      </c>
      <c r="J83" s="115">
        <v>1080</v>
      </c>
      <c r="K83" s="115">
        <v>2</v>
      </c>
      <c r="L83" s="276">
        <v>304.58999999999997</v>
      </c>
      <c r="M83" s="277">
        <f t="shared" si="0"/>
        <v>2160</v>
      </c>
      <c r="N83" s="276">
        <f t="shared" si="1"/>
        <v>657914.39999999991</v>
      </c>
      <c r="O83" s="115">
        <v>180</v>
      </c>
      <c r="P83" s="276">
        <v>49908.6</v>
      </c>
      <c r="Q83" s="115">
        <v>1080</v>
      </c>
      <c r="R83" s="276">
        <v>323838</v>
      </c>
      <c r="S83" s="115">
        <v>602</v>
      </c>
      <c r="T83" s="276">
        <v>183363.18</v>
      </c>
      <c r="U83" s="278" t="s">
        <v>139</v>
      </c>
      <c r="V83" s="115">
        <v>427</v>
      </c>
      <c r="W83" s="114">
        <v>43164</v>
      </c>
      <c r="X83" s="115" t="s">
        <v>138</v>
      </c>
      <c r="Y83" s="221">
        <v>43164</v>
      </c>
      <c r="Z83" s="115"/>
      <c r="AA83" s="115"/>
      <c r="AB83" s="22">
        <v>0</v>
      </c>
      <c r="AC83" s="170">
        <v>0</v>
      </c>
      <c r="AD83" s="208">
        <v>56</v>
      </c>
      <c r="AE83" s="170">
        <v>16794.400000000001</v>
      </c>
      <c r="AF83" s="208"/>
      <c r="AG83" s="170"/>
      <c r="AH83" s="208"/>
      <c r="AI83" s="170"/>
      <c r="AJ83" s="233">
        <f t="shared" si="6"/>
        <v>56</v>
      </c>
      <c r="AK83" s="170">
        <f t="shared" si="6"/>
        <v>16794.400000000001</v>
      </c>
      <c r="AL83" s="270">
        <v>0</v>
      </c>
      <c r="AM83" s="170">
        <v>0</v>
      </c>
      <c r="AN83" s="270">
        <v>56</v>
      </c>
      <c r="AO83" s="170">
        <f t="shared" si="2"/>
        <v>16794.400000000001</v>
      </c>
      <c r="AP83" s="233"/>
      <c r="AQ83" s="233"/>
      <c r="AR83" s="170">
        <v>299.89999999999998</v>
      </c>
      <c r="AS83" s="170">
        <f t="shared" si="3"/>
        <v>0</v>
      </c>
      <c r="AT83" s="233">
        <f>18-18</f>
        <v>0</v>
      </c>
      <c r="AU83" s="386">
        <f t="shared" si="4"/>
        <v>0</v>
      </c>
      <c r="AV83" s="233">
        <f t="shared" si="5"/>
        <v>0</v>
      </c>
    </row>
    <row r="84" spans="1:48" s="62" customFormat="1" ht="25.5" customHeight="1">
      <c r="A84" s="59"/>
      <c r="B84" s="60"/>
      <c r="C84" s="60"/>
      <c r="D84" s="22"/>
      <c r="E84" s="79" t="s">
        <v>24</v>
      </c>
      <c r="F84" s="173" t="s">
        <v>64</v>
      </c>
      <c r="G84" s="222" t="s">
        <v>140</v>
      </c>
      <c r="H84" s="193" t="s">
        <v>91</v>
      </c>
      <c r="I84" s="193" t="s">
        <v>91</v>
      </c>
      <c r="J84" s="193"/>
      <c r="K84" s="193"/>
      <c r="L84" s="243"/>
      <c r="M84" s="242">
        <f t="shared" si="0"/>
        <v>0</v>
      </c>
      <c r="N84" s="243">
        <f t="shared" si="1"/>
        <v>0</v>
      </c>
      <c r="O84" s="193"/>
      <c r="P84" s="243"/>
      <c r="Q84" s="193"/>
      <c r="R84" s="243"/>
      <c r="S84" s="193"/>
      <c r="T84" s="243"/>
      <c r="U84" s="203" t="s">
        <v>157</v>
      </c>
      <c r="V84" s="115">
        <v>605</v>
      </c>
      <c r="W84" s="114">
        <v>43193</v>
      </c>
      <c r="X84" s="193">
        <v>97</v>
      </c>
      <c r="Y84" s="200">
        <v>43202</v>
      </c>
      <c r="Z84" s="193" t="s">
        <v>158</v>
      </c>
      <c r="AA84" s="200">
        <v>43216</v>
      </c>
      <c r="AB84" s="22">
        <v>0</v>
      </c>
      <c r="AC84" s="170">
        <v>0</v>
      </c>
      <c r="AD84" s="209">
        <v>510</v>
      </c>
      <c r="AE84" s="194">
        <v>152949</v>
      </c>
      <c r="AF84" s="209"/>
      <c r="AG84" s="194"/>
      <c r="AH84" s="209"/>
      <c r="AI84" s="194"/>
      <c r="AJ84" s="233">
        <f t="shared" si="6"/>
        <v>510</v>
      </c>
      <c r="AK84" s="170">
        <f t="shared" si="6"/>
        <v>152949</v>
      </c>
      <c r="AL84" s="272">
        <v>0</v>
      </c>
      <c r="AM84" s="212">
        <v>0</v>
      </c>
      <c r="AN84" s="269">
        <v>510</v>
      </c>
      <c r="AO84" s="217">
        <f t="shared" si="2"/>
        <v>152949</v>
      </c>
      <c r="AP84" s="232"/>
      <c r="AQ84" s="229"/>
      <c r="AR84" s="212">
        <v>299.89999999999998</v>
      </c>
      <c r="AS84" s="212">
        <f t="shared" si="3"/>
        <v>0</v>
      </c>
      <c r="AT84" s="261">
        <f>510-42-60</f>
        <v>408</v>
      </c>
      <c r="AU84" s="262">
        <f t="shared" si="4"/>
        <v>122359.2</v>
      </c>
      <c r="AV84" s="406">
        <f t="shared" si="5"/>
        <v>408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3">
        <v>368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368</v>
      </c>
      <c r="AU85" s="228"/>
      <c r="AV85" s="406">
        <f t="shared" si="5"/>
        <v>368</v>
      </c>
    </row>
    <row r="86" spans="1:48" s="62" customFormat="1" ht="31.5">
      <c r="A86" s="59"/>
      <c r="B86" s="60"/>
      <c r="C86" s="60"/>
      <c r="D86" s="22"/>
      <c r="E86" s="79" t="s">
        <v>24</v>
      </c>
      <c r="F86" s="150" t="s">
        <v>57</v>
      </c>
      <c r="G86" s="222" t="s">
        <v>121</v>
      </c>
      <c r="H86" s="193" t="s">
        <v>91</v>
      </c>
      <c r="I86" s="193" t="s">
        <v>91</v>
      </c>
      <c r="J86" s="193">
        <v>480</v>
      </c>
      <c r="K86" s="193">
        <v>3</v>
      </c>
      <c r="L86" s="243">
        <v>19.399999999999999</v>
      </c>
      <c r="M86" s="242">
        <f>J86*K86</f>
        <v>1440</v>
      </c>
      <c r="N86" s="243">
        <f t="shared" si="1"/>
        <v>27935.999999999996</v>
      </c>
      <c r="O86" s="193">
        <v>6637</v>
      </c>
      <c r="P86" s="243">
        <v>108249.47</v>
      </c>
      <c r="Q86" s="193">
        <v>4000</v>
      </c>
      <c r="R86" s="243">
        <v>89720</v>
      </c>
      <c r="S86" s="193"/>
      <c r="T86" s="243"/>
      <c r="U86" s="203" t="s">
        <v>120</v>
      </c>
      <c r="V86" s="115">
        <v>1745</v>
      </c>
      <c r="W86" s="114">
        <v>43096</v>
      </c>
      <c r="X86" s="193" t="s">
        <v>117</v>
      </c>
      <c r="Y86" s="200">
        <v>43109</v>
      </c>
      <c r="Z86" s="193" t="s">
        <v>118</v>
      </c>
      <c r="AA86" s="200">
        <v>43133</v>
      </c>
      <c r="AB86" s="22">
        <v>0</v>
      </c>
      <c r="AC86" s="170">
        <v>0</v>
      </c>
      <c r="AD86" s="209">
        <v>6637</v>
      </c>
      <c r="AE86" s="194">
        <v>102541.65</v>
      </c>
      <c r="AF86" s="209"/>
      <c r="AG86" s="194"/>
      <c r="AH86" s="209"/>
      <c r="AI86" s="194"/>
      <c r="AJ86" s="233">
        <f t="shared" si="6"/>
        <v>6637</v>
      </c>
      <c r="AK86" s="170">
        <f t="shared" si="6"/>
        <v>102541.65</v>
      </c>
      <c r="AL86" s="272">
        <f>180+290</f>
        <v>470</v>
      </c>
      <c r="AM86" s="212">
        <f>AL86*AR86</f>
        <v>7261.5</v>
      </c>
      <c r="AN86" s="269">
        <v>6167</v>
      </c>
      <c r="AO86" s="217">
        <f t="shared" si="2"/>
        <v>95280.15</v>
      </c>
      <c r="AP86" s="232"/>
      <c r="AQ86" s="229"/>
      <c r="AR86" s="212">
        <v>15.45</v>
      </c>
      <c r="AS86" s="212">
        <f t="shared" si="3"/>
        <v>0</v>
      </c>
      <c r="AT86" s="261">
        <f>5867-550-40-4737-460-30</f>
        <v>50</v>
      </c>
      <c r="AU86" s="262">
        <f t="shared" si="4"/>
        <v>772.5</v>
      </c>
      <c r="AV86" s="406">
        <f t="shared" si="5"/>
        <v>50</v>
      </c>
    </row>
    <row r="87" spans="1:48" s="62" customFormat="1" ht="31.5">
      <c r="A87" s="59"/>
      <c r="B87" s="60"/>
      <c r="C87" s="60"/>
      <c r="D87" s="22"/>
      <c r="E87" s="79" t="s">
        <v>24</v>
      </c>
      <c r="F87" s="150" t="s">
        <v>57</v>
      </c>
      <c r="G87" s="222" t="s">
        <v>121</v>
      </c>
      <c r="H87" s="193" t="s">
        <v>91</v>
      </c>
      <c r="I87" s="193" t="s">
        <v>91</v>
      </c>
      <c r="J87" s="193"/>
      <c r="K87" s="193"/>
      <c r="L87" s="243"/>
      <c r="M87" s="242">
        <f t="shared" ref="M87:M88" si="8">J87*K87</f>
        <v>0</v>
      </c>
      <c r="N87" s="243">
        <f t="shared" ref="N87:N90" si="9">L87*M87</f>
        <v>0</v>
      </c>
      <c r="O87" s="193"/>
      <c r="P87" s="243"/>
      <c r="Q87" s="193"/>
      <c r="R87" s="243"/>
      <c r="S87" s="193"/>
      <c r="T87" s="243"/>
      <c r="U87" s="203" t="s">
        <v>173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144</v>
      </c>
      <c r="AE87" s="194">
        <v>2142.7199999999998</v>
      </c>
      <c r="AF87" s="209"/>
      <c r="AG87" s="194"/>
      <c r="AH87" s="209"/>
      <c r="AI87" s="194"/>
      <c r="AJ87" s="233">
        <f t="shared" si="6"/>
        <v>144</v>
      </c>
      <c r="AK87" s="170">
        <f t="shared" si="6"/>
        <v>2142.7199999999998</v>
      </c>
      <c r="AL87" s="272">
        <v>0</v>
      </c>
      <c r="AM87" s="212">
        <v>0</v>
      </c>
      <c r="AN87" s="269">
        <v>144</v>
      </c>
      <c r="AO87" s="217">
        <f t="shared" ref="AO87" si="10">AC87+AK87-AM87</f>
        <v>2142.7199999999998</v>
      </c>
      <c r="AP87" s="232"/>
      <c r="AQ87" s="229"/>
      <c r="AR87" s="212">
        <v>14.88</v>
      </c>
      <c r="AS87" s="212">
        <f t="shared" si="3"/>
        <v>0</v>
      </c>
      <c r="AT87" s="227">
        <v>144</v>
      </c>
      <c r="AU87" s="228">
        <f t="shared" si="4"/>
        <v>2142.7200000000003</v>
      </c>
      <c r="AV87" s="279">
        <f t="shared" ref="AV87:AV97" si="11">AT87</f>
        <v>144</v>
      </c>
    </row>
    <row r="88" spans="1:48" s="62" customFormat="1" ht="31.5">
      <c r="A88" s="59"/>
      <c r="B88" s="60"/>
      <c r="C88" s="60"/>
      <c r="D88" s="22"/>
      <c r="E88" s="79" t="s">
        <v>24</v>
      </c>
      <c r="F88" s="150" t="s">
        <v>57</v>
      </c>
      <c r="G88" s="222" t="s">
        <v>121</v>
      </c>
      <c r="H88" s="193" t="s">
        <v>91</v>
      </c>
      <c r="I88" s="193" t="s">
        <v>91</v>
      </c>
      <c r="J88" s="193"/>
      <c r="K88" s="193"/>
      <c r="L88" s="243"/>
      <c r="M88" s="242">
        <f t="shared" si="8"/>
        <v>0</v>
      </c>
      <c r="N88" s="243">
        <f t="shared" si="9"/>
        <v>0</v>
      </c>
      <c r="O88" s="193"/>
      <c r="P88" s="243"/>
      <c r="Q88" s="193"/>
      <c r="R88" s="243"/>
      <c r="S88" s="193"/>
      <c r="T88" s="243"/>
      <c r="U88" s="203" t="s">
        <v>183</v>
      </c>
      <c r="V88" s="115">
        <v>1418</v>
      </c>
      <c r="W88" s="114">
        <v>43312</v>
      </c>
      <c r="X88" s="193" t="s">
        <v>184</v>
      </c>
      <c r="Y88" s="200">
        <v>43332</v>
      </c>
      <c r="Z88" s="193" t="s">
        <v>185</v>
      </c>
      <c r="AA88" s="200">
        <v>43320</v>
      </c>
      <c r="AB88" s="22">
        <v>0</v>
      </c>
      <c r="AC88" s="170">
        <v>0</v>
      </c>
      <c r="AD88" s="209">
        <v>76</v>
      </c>
      <c r="AE88" s="194">
        <v>1130.8800000000001</v>
      </c>
      <c r="AF88" s="209"/>
      <c r="AG88" s="194"/>
      <c r="AH88" s="209"/>
      <c r="AI88" s="194"/>
      <c r="AJ88" s="233">
        <f t="shared" si="6"/>
        <v>76</v>
      </c>
      <c r="AK88" s="170">
        <f t="shared" si="6"/>
        <v>1130.8800000000001</v>
      </c>
      <c r="AL88" s="272">
        <v>0</v>
      </c>
      <c r="AM88" s="212">
        <v>0</v>
      </c>
      <c r="AN88" s="269">
        <v>76</v>
      </c>
      <c r="AO88" s="217">
        <v>0</v>
      </c>
      <c r="AP88" s="232"/>
      <c r="AQ88" s="229"/>
      <c r="AR88" s="212">
        <v>14.88</v>
      </c>
      <c r="AS88" s="212">
        <f t="shared" si="3"/>
        <v>0</v>
      </c>
      <c r="AT88" s="227">
        <v>76</v>
      </c>
      <c r="AU88" s="228">
        <f t="shared" si="4"/>
        <v>1130.8800000000001</v>
      </c>
      <c r="AV88" s="279">
        <f t="shared" si="11"/>
        <v>76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121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3">
        <v>45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45</v>
      </c>
      <c r="AU89" s="228"/>
      <c r="AV89" s="279">
        <v>45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78" t="s">
        <v>58</v>
      </c>
      <c r="G90" s="222" t="s">
        <v>123</v>
      </c>
      <c r="H90" s="193" t="s">
        <v>91</v>
      </c>
      <c r="I90" s="193" t="s">
        <v>91</v>
      </c>
      <c r="J90" s="193">
        <v>5</v>
      </c>
      <c r="K90" s="193">
        <v>5</v>
      </c>
      <c r="L90" s="243">
        <v>2899.28</v>
      </c>
      <c r="M90" s="242">
        <f>J90*K90</f>
        <v>25</v>
      </c>
      <c r="N90" s="243">
        <f t="shared" si="9"/>
        <v>72482</v>
      </c>
      <c r="O90" s="193">
        <v>4</v>
      </c>
      <c r="P90" s="243">
        <v>8377.6</v>
      </c>
      <c r="Q90" s="193"/>
      <c r="R90" s="243"/>
      <c r="S90" s="193"/>
      <c r="T90" s="243"/>
      <c r="U90" s="203" t="s">
        <v>122</v>
      </c>
      <c r="V90" s="115">
        <v>1745</v>
      </c>
      <c r="W90" s="114">
        <v>43096</v>
      </c>
      <c r="X90" s="193" t="s">
        <v>117</v>
      </c>
      <c r="Y90" s="200">
        <v>43109</v>
      </c>
      <c r="Z90" s="193" t="s">
        <v>118</v>
      </c>
      <c r="AA90" s="200">
        <v>43133</v>
      </c>
      <c r="AB90" s="22">
        <v>0</v>
      </c>
      <c r="AC90" s="170">
        <v>0</v>
      </c>
      <c r="AD90" s="209">
        <v>4</v>
      </c>
      <c r="AE90" s="194">
        <v>9062.24</v>
      </c>
      <c r="AF90" s="209"/>
      <c r="AG90" s="194"/>
      <c r="AH90" s="209"/>
      <c r="AI90" s="194"/>
      <c r="AJ90" s="233">
        <f t="shared" si="6"/>
        <v>4</v>
      </c>
      <c r="AK90" s="170">
        <f t="shared" si="6"/>
        <v>9062.24</v>
      </c>
      <c r="AL90" s="272">
        <v>0</v>
      </c>
      <c r="AM90" s="212">
        <v>0</v>
      </c>
      <c r="AN90" s="269">
        <v>4</v>
      </c>
      <c r="AO90" s="217">
        <f t="shared" ref="AO90:AO97" si="12">AC90+AK90-AM90</f>
        <v>9062.24</v>
      </c>
      <c r="AP90" s="232"/>
      <c r="AQ90" s="229"/>
      <c r="AR90" s="212">
        <v>2265.56</v>
      </c>
      <c r="AS90" s="212">
        <f t="shared" si="3"/>
        <v>0</v>
      </c>
      <c r="AT90" s="227">
        <v>4</v>
      </c>
      <c r="AU90" s="228">
        <f t="shared" si="4"/>
        <v>9062.24</v>
      </c>
      <c r="AV90" s="279">
        <f t="shared" si="11"/>
        <v>4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78" t="s">
        <v>58</v>
      </c>
      <c r="G91" s="222" t="s">
        <v>123</v>
      </c>
      <c r="H91" s="193" t="s">
        <v>91</v>
      </c>
      <c r="I91" s="193" t="s">
        <v>91</v>
      </c>
      <c r="J91" s="193"/>
      <c r="K91" s="193"/>
      <c r="L91" s="243"/>
      <c r="M91" s="242">
        <f t="shared" ref="M91:M97" si="13">J91*K91</f>
        <v>0</v>
      </c>
      <c r="N91" s="243">
        <f>L91*M91</f>
        <v>0</v>
      </c>
      <c r="O91" s="193"/>
      <c r="P91" s="243"/>
      <c r="Q91" s="193"/>
      <c r="R91" s="243"/>
      <c r="S91" s="193"/>
      <c r="T91" s="243"/>
      <c r="U91" s="203" t="s">
        <v>170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</v>
      </c>
      <c r="AE91" s="194">
        <v>4531.12</v>
      </c>
      <c r="AF91" s="209"/>
      <c r="AG91" s="194"/>
      <c r="AH91" s="209"/>
      <c r="AI91" s="194"/>
      <c r="AJ91" s="233">
        <f t="shared" si="6"/>
        <v>2</v>
      </c>
      <c r="AK91" s="170">
        <f t="shared" si="6"/>
        <v>4531.12</v>
      </c>
      <c r="AL91" s="272">
        <v>0</v>
      </c>
      <c r="AM91" s="212">
        <v>0</v>
      </c>
      <c r="AN91" s="269">
        <v>2</v>
      </c>
      <c r="AO91" s="217">
        <f t="shared" si="12"/>
        <v>4531.12</v>
      </c>
      <c r="AP91" s="232"/>
      <c r="AQ91" s="229"/>
      <c r="AR91" s="212">
        <v>2265.56</v>
      </c>
      <c r="AS91" s="212">
        <f t="shared" ref="AS91:AS97" si="14">AQ91*AR91</f>
        <v>0</v>
      </c>
      <c r="AT91" s="227">
        <v>2</v>
      </c>
      <c r="AU91" s="228">
        <f t="shared" ref="AU91:AU97" si="15">AT91*AR91</f>
        <v>4531.12</v>
      </c>
      <c r="AV91" s="279">
        <f t="shared" si="11"/>
        <v>2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82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si="13"/>
        <v>144</v>
      </c>
      <c r="N92" s="243">
        <f t="shared" ref="N92:N97" si="16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3">
        <f t="shared" ref="AJ92:AK97" si="17">AD92+AF92+AH92</f>
        <v>14</v>
      </c>
      <c r="AK92" s="170">
        <f t="shared" si="17"/>
        <v>774.48</v>
      </c>
      <c r="AL92" s="272">
        <v>0</v>
      </c>
      <c r="AM92" s="212">
        <v>0</v>
      </c>
      <c r="AN92" s="269">
        <v>14</v>
      </c>
      <c r="AO92" s="217">
        <f t="shared" si="12"/>
        <v>774.48</v>
      </c>
      <c r="AP92" s="232"/>
      <c r="AQ92" s="229"/>
      <c r="AR92" s="212">
        <v>55.32</v>
      </c>
      <c r="AS92" s="212">
        <f t="shared" si="14"/>
        <v>0</v>
      </c>
      <c r="AT92" s="227">
        <f>14-2</f>
        <v>12</v>
      </c>
      <c r="AU92" s="228">
        <f t="shared" si="15"/>
        <v>663.84</v>
      </c>
      <c r="AV92" s="406">
        <f t="shared" si="11"/>
        <v>12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82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3"/>
        <v>0</v>
      </c>
      <c r="N93" s="243">
        <f t="shared" si="16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3">
        <f t="shared" si="17"/>
        <v>26</v>
      </c>
      <c r="AK93" s="170">
        <f t="shared" si="17"/>
        <v>1438.32</v>
      </c>
      <c r="AL93" s="272">
        <v>0</v>
      </c>
      <c r="AM93" s="212">
        <v>0</v>
      </c>
      <c r="AN93" s="269">
        <v>26</v>
      </c>
      <c r="AO93" s="217">
        <f t="shared" si="12"/>
        <v>1438.32</v>
      </c>
      <c r="AP93" s="232"/>
      <c r="AQ93" s="229"/>
      <c r="AR93" s="212">
        <v>55.32</v>
      </c>
      <c r="AS93" s="212">
        <f t="shared" si="14"/>
        <v>0</v>
      </c>
      <c r="AT93" s="227">
        <v>26</v>
      </c>
      <c r="AU93" s="228">
        <f t="shared" si="15"/>
        <v>1438.32</v>
      </c>
      <c r="AV93" s="406">
        <f t="shared" si="11"/>
        <v>26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79" t="s">
        <v>62</v>
      </c>
      <c r="G94" s="222" t="s">
        <v>129</v>
      </c>
      <c r="H94" s="193" t="s">
        <v>91</v>
      </c>
      <c r="I94" s="193" t="s">
        <v>91</v>
      </c>
      <c r="J94" s="193">
        <v>24</v>
      </c>
      <c r="K94" s="193">
        <v>4</v>
      </c>
      <c r="L94" s="243">
        <v>984.1</v>
      </c>
      <c r="M94" s="242">
        <f t="shared" si="13"/>
        <v>96</v>
      </c>
      <c r="N94" s="243">
        <f t="shared" si="16"/>
        <v>94473.600000000006</v>
      </c>
      <c r="O94" s="193">
        <v>6</v>
      </c>
      <c r="P94" s="243">
        <v>4721.3999999999996</v>
      </c>
      <c r="Q94" s="193"/>
      <c r="R94" s="243"/>
      <c r="S94" s="193"/>
      <c r="T94" s="243"/>
      <c r="U94" s="203" t="s">
        <v>130</v>
      </c>
      <c r="V94" s="115">
        <v>135</v>
      </c>
      <c r="W94" s="114">
        <v>42761</v>
      </c>
      <c r="X94" s="193" t="s">
        <v>126</v>
      </c>
      <c r="Y94" s="200">
        <v>43130</v>
      </c>
      <c r="Z94" s="193"/>
      <c r="AA94" s="193"/>
      <c r="AB94" s="22">
        <v>0</v>
      </c>
      <c r="AC94" s="170">
        <v>0</v>
      </c>
      <c r="AD94" s="209">
        <v>6</v>
      </c>
      <c r="AE94" s="194">
        <v>4549.08</v>
      </c>
      <c r="AF94" s="209"/>
      <c r="AG94" s="194"/>
      <c r="AH94" s="209"/>
      <c r="AI94" s="194"/>
      <c r="AJ94" s="233">
        <f t="shared" si="17"/>
        <v>6</v>
      </c>
      <c r="AK94" s="170">
        <f t="shared" si="17"/>
        <v>4549.08</v>
      </c>
      <c r="AL94" s="272">
        <v>0</v>
      </c>
      <c r="AM94" s="212">
        <v>0</v>
      </c>
      <c r="AN94" s="269">
        <v>6</v>
      </c>
      <c r="AO94" s="217">
        <f t="shared" si="12"/>
        <v>4549.08</v>
      </c>
      <c r="AP94" s="232"/>
      <c r="AQ94" s="229"/>
      <c r="AR94" s="212">
        <v>758.18</v>
      </c>
      <c r="AS94" s="212">
        <f t="shared" si="14"/>
        <v>0</v>
      </c>
      <c r="AT94" s="227">
        <v>6</v>
      </c>
      <c r="AU94" s="228">
        <f t="shared" si="15"/>
        <v>4549.08</v>
      </c>
      <c r="AV94" s="279">
        <f t="shared" si="11"/>
        <v>6</v>
      </c>
    </row>
    <row r="95" spans="1:48" s="62" customFormat="1" ht="26.25" customHeight="1">
      <c r="A95" s="59"/>
      <c r="B95" s="60"/>
      <c r="C95" s="60"/>
      <c r="D95" s="22"/>
      <c r="E95" s="79" t="s">
        <v>24</v>
      </c>
      <c r="F95" s="179" t="s">
        <v>62</v>
      </c>
      <c r="G95" s="222" t="s">
        <v>129</v>
      </c>
      <c r="H95" s="193" t="s">
        <v>91</v>
      </c>
      <c r="I95" s="193" t="s">
        <v>91</v>
      </c>
      <c r="J95" s="193"/>
      <c r="K95" s="193"/>
      <c r="L95" s="243"/>
      <c r="M95" s="242">
        <f t="shared" si="13"/>
        <v>0</v>
      </c>
      <c r="N95" s="243">
        <f t="shared" si="16"/>
        <v>0</v>
      </c>
      <c r="O95" s="193"/>
      <c r="P95" s="243"/>
      <c r="Q95" s="193"/>
      <c r="R95" s="243"/>
      <c r="S95" s="193"/>
      <c r="T95" s="243"/>
      <c r="U95" s="203" t="s">
        <v>172</v>
      </c>
      <c r="V95" s="115">
        <v>834</v>
      </c>
      <c r="W95" s="114">
        <v>43222</v>
      </c>
      <c r="X95" s="193" t="s">
        <v>162</v>
      </c>
      <c r="Y95" s="200">
        <v>43242</v>
      </c>
      <c r="Z95" s="193"/>
      <c r="AA95" s="193"/>
      <c r="AB95" s="22">
        <v>0</v>
      </c>
      <c r="AC95" s="170">
        <v>0</v>
      </c>
      <c r="AD95" s="209">
        <v>10</v>
      </c>
      <c r="AE95" s="194">
        <v>7581.8</v>
      </c>
      <c r="AF95" s="209"/>
      <c r="AG95" s="194"/>
      <c r="AH95" s="209"/>
      <c r="AI95" s="194"/>
      <c r="AJ95" s="233">
        <f t="shared" si="17"/>
        <v>10</v>
      </c>
      <c r="AK95" s="170">
        <f t="shared" si="17"/>
        <v>7581.8</v>
      </c>
      <c r="AL95" s="272">
        <v>0</v>
      </c>
      <c r="AM95" s="212">
        <v>0</v>
      </c>
      <c r="AN95" s="269">
        <v>10</v>
      </c>
      <c r="AO95" s="217">
        <f t="shared" si="12"/>
        <v>7581.8</v>
      </c>
      <c r="AP95" s="232"/>
      <c r="AQ95" s="229"/>
      <c r="AR95" s="212">
        <v>758.18</v>
      </c>
      <c r="AS95" s="212">
        <f t="shared" si="14"/>
        <v>0</v>
      </c>
      <c r="AT95" s="227">
        <v>10</v>
      </c>
      <c r="AU95" s="228">
        <f t="shared" si="15"/>
        <v>7581.7999999999993</v>
      </c>
      <c r="AV95" s="279">
        <f t="shared" si="11"/>
        <v>10</v>
      </c>
    </row>
    <row r="96" spans="1:48" s="62" customFormat="1" ht="26.25" customHeight="1">
      <c r="A96" s="59"/>
      <c r="B96" s="60"/>
      <c r="C96" s="60"/>
      <c r="D96" s="22"/>
      <c r="E96" s="79"/>
      <c r="F96" s="179" t="s">
        <v>62</v>
      </c>
      <c r="G96" s="222" t="s">
        <v>129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/>
      <c r="V96" s="115"/>
      <c r="W96" s="114"/>
      <c r="X96" s="193"/>
      <c r="Y96" s="200"/>
      <c r="Z96" s="193"/>
      <c r="AA96" s="193"/>
      <c r="AB96" s="22"/>
      <c r="AC96" s="170"/>
      <c r="AD96" s="209"/>
      <c r="AE96" s="194"/>
      <c r="AF96" s="209"/>
      <c r="AG96" s="194"/>
      <c r="AH96" s="209"/>
      <c r="AI96" s="194"/>
      <c r="AJ96" s="233">
        <v>4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27">
        <v>4</v>
      </c>
      <c r="AU96" s="228"/>
      <c r="AV96" s="279">
        <v>4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91" t="s">
        <v>66</v>
      </c>
      <c r="G97" s="222" t="s">
        <v>135</v>
      </c>
      <c r="H97" s="193" t="s">
        <v>91</v>
      </c>
      <c r="I97" s="193" t="s">
        <v>91</v>
      </c>
      <c r="J97" s="193">
        <v>4</v>
      </c>
      <c r="K97" s="193">
        <v>4</v>
      </c>
      <c r="L97" s="243">
        <v>2051.94</v>
      </c>
      <c r="M97" s="242">
        <f t="shared" si="13"/>
        <v>16</v>
      </c>
      <c r="N97" s="243">
        <f t="shared" si="16"/>
        <v>32831.040000000001</v>
      </c>
      <c r="O97" s="193">
        <v>4</v>
      </c>
      <c r="P97" s="243">
        <v>4104.6400000000003</v>
      </c>
      <c r="Q97" s="193"/>
      <c r="R97" s="243"/>
      <c r="S97" s="193"/>
      <c r="T97" s="243"/>
      <c r="U97" s="203">
        <v>1633600163</v>
      </c>
      <c r="V97" s="115">
        <v>260</v>
      </c>
      <c r="W97" s="114">
        <v>43145</v>
      </c>
      <c r="X97" s="193" t="s">
        <v>94</v>
      </c>
      <c r="Y97" s="200">
        <v>43164</v>
      </c>
      <c r="Z97" s="193"/>
      <c r="AA97" s="193"/>
      <c r="AB97" s="22">
        <v>0</v>
      </c>
      <c r="AC97" s="170">
        <v>0</v>
      </c>
      <c r="AD97" s="209">
        <v>2</v>
      </c>
      <c r="AE97" s="194">
        <f>2020.4+2020.4</f>
        <v>4040.8</v>
      </c>
      <c r="AF97" s="209"/>
      <c r="AG97" s="194"/>
      <c r="AH97" s="209"/>
      <c r="AI97" s="194"/>
      <c r="AJ97" s="233">
        <f t="shared" si="17"/>
        <v>2</v>
      </c>
      <c r="AK97" s="170">
        <f t="shared" si="17"/>
        <v>4040.8</v>
      </c>
      <c r="AL97" s="272">
        <v>0</v>
      </c>
      <c r="AM97" s="212">
        <v>0</v>
      </c>
      <c r="AN97" s="269">
        <v>2</v>
      </c>
      <c r="AO97" s="217">
        <f t="shared" si="12"/>
        <v>4040.8</v>
      </c>
      <c r="AP97" s="232"/>
      <c r="AQ97" s="229"/>
      <c r="AR97" s="212">
        <v>2020.4</v>
      </c>
      <c r="AS97" s="212">
        <f t="shared" si="14"/>
        <v>0</v>
      </c>
      <c r="AT97" s="227">
        <v>2</v>
      </c>
      <c r="AU97" s="228">
        <f t="shared" si="15"/>
        <v>4040.8</v>
      </c>
      <c r="AV97" s="406">
        <f t="shared" si="11"/>
        <v>2</v>
      </c>
    </row>
    <row r="98" spans="1:48" s="251" customFormat="1" ht="21" customHeight="1">
      <c r="A98" s="20" t="s">
        <v>11</v>
      </c>
      <c r="B98" s="20"/>
      <c r="C98" s="20"/>
      <c r="D98" s="695" t="s">
        <v>34</v>
      </c>
      <c r="E98" s="696"/>
      <c r="F98" s="697"/>
      <c r="G98" s="246"/>
      <c r="H98" s="246"/>
      <c r="I98" s="246"/>
      <c r="J98" s="246"/>
      <c r="K98" s="247">
        <f>SUM(K17:K97)</f>
        <v>34</v>
      </c>
      <c r="L98" s="248"/>
      <c r="M98" s="246"/>
      <c r="N98" s="249">
        <f>SUM(N17:N97)</f>
        <v>3452363.2</v>
      </c>
      <c r="O98" s="248"/>
      <c r="P98" s="249">
        <f t="shared" ref="P98:T98" si="18">SUM(P17:P97)</f>
        <v>1903757.27</v>
      </c>
      <c r="Q98" s="248"/>
      <c r="R98" s="249">
        <f t="shared" si="18"/>
        <v>1395649.94</v>
      </c>
      <c r="S98" s="248"/>
      <c r="T98" s="249">
        <f t="shared" si="18"/>
        <v>1083638.72</v>
      </c>
      <c r="U98" s="291" t="s">
        <v>156</v>
      </c>
      <c r="V98" s="291" t="s">
        <v>156</v>
      </c>
      <c r="W98" s="291" t="s">
        <v>156</v>
      </c>
      <c r="X98" s="250" t="s">
        <v>156</v>
      </c>
      <c r="Y98" s="250" t="s">
        <v>156</v>
      </c>
      <c r="Z98" s="250" t="s">
        <v>156</v>
      </c>
      <c r="AA98" s="250" t="s">
        <v>156</v>
      </c>
      <c r="AB98" s="176">
        <f>SUM(AB17:AB41)</f>
        <v>1342</v>
      </c>
      <c r="AC98" s="171">
        <f>SUM(AC17:AC78)</f>
        <v>493758.06</v>
      </c>
      <c r="AD98" s="210">
        <f>SUM(AD17:AD97)</f>
        <v>13168</v>
      </c>
      <c r="AE98" s="195">
        <f t="shared" ref="AE98:AM98" si="19">SUM(AE17:AE97)</f>
        <v>1524549.46</v>
      </c>
      <c r="AF98" s="210">
        <f t="shared" si="19"/>
        <v>0</v>
      </c>
      <c r="AG98" s="195">
        <f t="shared" si="19"/>
        <v>0</v>
      </c>
      <c r="AH98" s="210">
        <f t="shared" si="19"/>
        <v>0</v>
      </c>
      <c r="AI98" s="195">
        <f t="shared" si="19"/>
        <v>0</v>
      </c>
      <c r="AJ98" s="230">
        <f>SUM(AJ17:AJ97)</f>
        <v>13646</v>
      </c>
      <c r="AK98" s="175">
        <f>SUM(AK17:AK97)</f>
        <v>1524549.46</v>
      </c>
      <c r="AL98" s="213">
        <f t="shared" si="19"/>
        <v>2245</v>
      </c>
      <c r="AM98" s="214">
        <f t="shared" si="19"/>
        <v>504590.05000000005</v>
      </c>
      <c r="AN98" s="218">
        <f>SUM(AN17:AN97)</f>
        <v>12265</v>
      </c>
      <c r="AO98" s="219">
        <f>SUM(AO17:AO97)</f>
        <v>1495993.66</v>
      </c>
      <c r="AP98" s="286">
        <f>SUM(AP17:AP97)</f>
        <v>0</v>
      </c>
      <c r="AQ98" s="287">
        <f>SUM(AQ17:AQ97)</f>
        <v>0</v>
      </c>
      <c r="AR98" s="226" t="s">
        <v>156</v>
      </c>
      <c r="AS98" s="226">
        <f>SUM(AS17:AS97)</f>
        <v>0</v>
      </c>
      <c r="AT98" s="227">
        <f>SUM(AT17:AT97)</f>
        <v>5099</v>
      </c>
      <c r="AU98" s="228">
        <f>SUM(AU17:AU97)</f>
        <v>1020548.17</v>
      </c>
      <c r="AV98" s="236">
        <f>SUM(AV17:AV97)</f>
        <v>5099</v>
      </c>
    </row>
    <row r="99" spans="1:48" s="336" customFormat="1" ht="21" customHeight="1">
      <c r="A99" s="20"/>
      <c r="B99" s="20"/>
      <c r="C99" s="20"/>
      <c r="D99" s="294"/>
      <c r="E99" s="294"/>
      <c r="F99" s="294"/>
      <c r="G99" s="330"/>
      <c r="H99" s="330"/>
      <c r="I99" s="330"/>
      <c r="J99" s="330"/>
      <c r="K99" s="331"/>
      <c r="L99" s="332"/>
      <c r="M99" s="330"/>
      <c r="N99" s="333"/>
      <c r="O99" s="332"/>
      <c r="P99" s="333"/>
      <c r="Q99" s="332"/>
      <c r="R99" s="333"/>
      <c r="S99" s="332"/>
      <c r="T99" s="333"/>
      <c r="U99" s="295"/>
      <c r="V99" s="295"/>
      <c r="W99" s="295"/>
      <c r="X99" s="295"/>
      <c r="Y99" s="295"/>
      <c r="Z99" s="295"/>
      <c r="AA99" s="295"/>
      <c r="AB99" s="296"/>
      <c r="AC99" s="297"/>
      <c r="AD99" s="296"/>
      <c r="AE99" s="297"/>
      <c r="AF99" s="296"/>
      <c r="AG99" s="297"/>
      <c r="AH99" s="296"/>
      <c r="AI99" s="297"/>
      <c r="AJ99" s="298"/>
      <c r="AK99" s="299"/>
      <c r="AL99" s="334"/>
      <c r="AM99" s="297"/>
      <c r="AN99" s="296"/>
      <c r="AO99" s="297"/>
      <c r="AP99" s="298"/>
      <c r="AQ99" s="335"/>
      <c r="AR99" s="333"/>
      <c r="AS99" s="333"/>
      <c r="AT99" s="331"/>
      <c r="AU99" s="333"/>
      <c r="AV99" s="331"/>
    </row>
    <row r="100" spans="1:48" s="336" customFormat="1" ht="21" hidden="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29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292" customFormat="1" ht="20.25" hidden="1">
      <c r="A101" s="301"/>
      <c r="B101" s="301"/>
      <c r="C101" s="301"/>
      <c r="D101" s="302"/>
      <c r="E101" s="301"/>
      <c r="F101" s="303" t="s">
        <v>205</v>
      </c>
      <c r="G101" s="303"/>
      <c r="H101" s="303" t="s">
        <v>208</v>
      </c>
      <c r="I101" s="303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3"/>
      <c r="V101" s="303"/>
      <c r="X101" s="303"/>
      <c r="Y101" s="303"/>
      <c r="Z101" s="303"/>
      <c r="AA101" s="303" t="s">
        <v>208</v>
      </c>
      <c r="AB101" s="303"/>
      <c r="AC101" s="303"/>
      <c r="AD101" s="303"/>
      <c r="AE101" s="303"/>
      <c r="AF101" s="303"/>
      <c r="AG101" s="303"/>
      <c r="AH101" s="303"/>
      <c r="AI101" s="303"/>
      <c r="AJ101" s="301"/>
      <c r="AK101" s="303"/>
      <c r="AL101" s="301"/>
      <c r="AM101" s="30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20.25" hidden="1">
      <c r="A102" s="301"/>
      <c r="B102" s="301"/>
      <c r="C102" s="301"/>
      <c r="D102" s="302"/>
      <c r="E102" s="301"/>
      <c r="F102" s="303"/>
      <c r="G102" s="303"/>
      <c r="H102" s="303"/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1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1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15" hidden="1" customHeight="1">
      <c r="A104" s="309"/>
      <c r="B104" s="309"/>
      <c r="C104" s="309"/>
      <c r="D104" s="302"/>
      <c r="E104" s="309"/>
      <c r="F104" s="310"/>
      <c r="G104" s="310"/>
      <c r="H104" s="308"/>
      <c r="I104" s="308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8"/>
      <c r="V104" s="311"/>
      <c r="AA104" s="311"/>
      <c r="AJ104" s="293"/>
      <c r="AK104" s="312"/>
      <c r="AL104" s="309"/>
      <c r="AM104" s="31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8" hidden="1" customHeight="1">
      <c r="A105" s="314" t="s">
        <v>12</v>
      </c>
      <c r="B105" s="314"/>
      <c r="C105" s="314"/>
      <c r="D105" s="315"/>
      <c r="E105" s="314"/>
      <c r="F105" s="316" t="s">
        <v>206</v>
      </c>
      <c r="G105" s="316"/>
      <c r="H105" s="736" t="s">
        <v>209</v>
      </c>
      <c r="I105" s="736"/>
      <c r="J105" s="736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8"/>
      <c r="V105" s="319"/>
      <c r="X105" s="303"/>
      <c r="Y105" s="316"/>
      <c r="Z105" s="316"/>
      <c r="AA105" s="320" t="s">
        <v>209</v>
      </c>
      <c r="AB105" s="316"/>
      <c r="AC105" s="316"/>
      <c r="AD105" s="316"/>
      <c r="AE105" s="316"/>
      <c r="AF105" s="316"/>
      <c r="AG105" s="316"/>
      <c r="AH105" s="316"/>
      <c r="AI105" s="316"/>
      <c r="AJ105" s="314"/>
      <c r="AK105" s="316"/>
      <c r="AL105" s="314"/>
      <c r="AM105" s="316"/>
      <c r="AN105" s="314"/>
      <c r="AO105" s="321"/>
      <c r="AP105" s="307"/>
      <c r="AQ105" s="302"/>
      <c r="AR105" s="308"/>
      <c r="AS105" s="308"/>
      <c r="AT105" s="302"/>
      <c r="AU105" s="302"/>
      <c r="AV105" s="302"/>
    </row>
    <row r="106" spans="1:48" s="62" customFormat="1" ht="18.75" hidden="1">
      <c r="A106" s="11"/>
      <c r="B106" s="11"/>
      <c r="C106" s="11"/>
      <c r="D106" s="255"/>
      <c r="E106" s="11"/>
      <c r="F106" s="322"/>
      <c r="G106" s="322"/>
      <c r="H106" s="322"/>
      <c r="I106" s="322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4"/>
      <c r="AK106" s="322"/>
      <c r="AL106" s="324"/>
      <c r="AM106" s="322"/>
      <c r="AN106" s="281"/>
      <c r="AO106" s="325"/>
      <c r="AP106" s="326"/>
      <c r="AQ106" s="433"/>
      <c r="AR106" s="255"/>
      <c r="AS106" s="255"/>
      <c r="AT106" s="433"/>
      <c r="AU106" s="433"/>
      <c r="AV106" s="433"/>
    </row>
    <row r="107" spans="1:48" s="103" customFormat="1" ht="57.75" hidden="1" customHeight="1">
      <c r="A107" s="11"/>
      <c r="B107" s="11"/>
      <c r="C107" s="11"/>
      <c r="D107" s="255"/>
      <c r="E107" s="720" t="s">
        <v>207</v>
      </c>
      <c r="F107" s="720"/>
      <c r="G107" s="327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9"/>
      <c r="W107" s="329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281"/>
      <c r="AK107" s="11"/>
      <c r="AL107" s="281"/>
      <c r="AM107" s="11"/>
      <c r="AN107" s="281"/>
      <c r="AP107" s="326"/>
      <c r="AQ107" s="433"/>
      <c r="AR107" s="255"/>
      <c r="AS107" s="255"/>
      <c r="AT107" s="433"/>
      <c r="AU107" s="433"/>
      <c r="AV107" s="433"/>
    </row>
  </sheetData>
  <mergeCells count="40">
    <mergeCell ref="D11:AV11"/>
    <mergeCell ref="E6:AT6"/>
    <mergeCell ref="D7:AV7"/>
    <mergeCell ref="D8:AV8"/>
    <mergeCell ref="D9:AV9"/>
    <mergeCell ref="D10:AV10"/>
    <mergeCell ref="E107:F107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8:F98"/>
    <mergeCell ref="H105:J105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7"/>
  <sheetViews>
    <sheetView view="pageBreakPreview" topLeftCell="C1" zoomScale="70" zoomScaleSheetLayoutView="70" workbookViewId="0">
      <selection activeCell="AV89" sqref="AV89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40"/>
      <c r="AR1" s="255"/>
      <c r="AS1" s="255"/>
      <c r="AT1" s="440"/>
      <c r="AU1" s="440"/>
      <c r="AV1" s="44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4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4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245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40"/>
      <c r="AR12" s="255"/>
      <c r="AS12" s="255"/>
      <c r="AT12" s="441"/>
      <c r="AU12" s="441"/>
      <c r="AV12" s="44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246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39" t="s">
        <v>77</v>
      </c>
      <c r="N16" s="439" t="s">
        <v>78</v>
      </c>
      <c r="O16" s="439" t="s">
        <v>77</v>
      </c>
      <c r="P16" s="439" t="s">
        <v>78</v>
      </c>
      <c r="Q16" s="439" t="s">
        <v>77</v>
      </c>
      <c r="R16" s="439" t="s">
        <v>78</v>
      </c>
      <c r="S16" s="439" t="s">
        <v>77</v>
      </c>
      <c r="T16" s="43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38" t="s">
        <v>77</v>
      </c>
      <c r="AE16" s="438" t="s">
        <v>78</v>
      </c>
      <c r="AF16" s="205" t="s">
        <v>77</v>
      </c>
      <c r="AG16" s="205" t="s">
        <v>78</v>
      </c>
      <c r="AH16" s="438" t="s">
        <v>77</v>
      </c>
      <c r="AI16" s="438" t="s">
        <v>78</v>
      </c>
      <c r="AJ16" s="97" t="s">
        <v>96</v>
      </c>
      <c r="AK16" s="96" t="s">
        <v>19</v>
      </c>
      <c r="AL16" s="436" t="s">
        <v>96</v>
      </c>
      <c r="AM16" s="436" t="s">
        <v>19</v>
      </c>
      <c r="AN16" s="216" t="s">
        <v>96</v>
      </c>
      <c r="AO16" s="216" t="s">
        <v>19</v>
      </c>
      <c r="AP16" s="207" t="s">
        <v>96</v>
      </c>
      <c r="AQ16" s="436" t="s">
        <v>96</v>
      </c>
      <c r="AR16" s="436" t="s">
        <v>107</v>
      </c>
      <c r="AS16" s="436" t="s">
        <v>19</v>
      </c>
      <c r="AT16" s="437" t="s">
        <v>96</v>
      </c>
      <c r="AU16" s="437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4" si="0">J18*K18</f>
        <v>0</v>
      </c>
      <c r="N18" s="243">
        <f t="shared" ref="N18:N86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6" si="2">AC18+AK18-AM18</f>
        <v>1026.1600000000001</v>
      </c>
      <c r="AP18" s="232"/>
      <c r="AQ18" s="229"/>
      <c r="AR18" s="212">
        <v>1026.1600000000001</v>
      </c>
      <c r="AS18" s="212">
        <f t="shared" ref="AS18:AS90" si="3">AQ18*AR18</f>
        <v>0</v>
      </c>
      <c r="AT18" s="227">
        <v>1</v>
      </c>
      <c r="AU18" s="228">
        <f t="shared" ref="AU18:AU90" si="4">AT18*AR18</f>
        <v>1026.1600000000001</v>
      </c>
      <c r="AV18" s="279">
        <f t="shared" ref="AV18:AV86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91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/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/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/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/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/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/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customHeight="1">
      <c r="A28" s="59"/>
      <c r="B28" s="101"/>
      <c r="C28" s="101"/>
      <c r="D28" s="22"/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customHeight="1">
      <c r="A29" s="59"/>
      <c r="B29" s="101"/>
      <c r="C29" s="101"/>
      <c r="D29" s="22"/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/>
      <c r="E30" s="104" t="s">
        <v>24</v>
      </c>
      <c r="F30" s="51" t="s">
        <v>238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/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/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/>
      <c r="E33" s="79" t="s">
        <v>24</v>
      </c>
      <c r="F33" s="51" t="s">
        <v>247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>
        <f t="shared" si="6"/>
        <v>0</v>
      </c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33">
        <f>52-50-2</f>
        <v>0</v>
      </c>
      <c r="AU33" s="386">
        <f t="shared" si="4"/>
        <v>0</v>
      </c>
      <c r="AV33" s="233">
        <f t="shared" si="5"/>
        <v>0</v>
      </c>
    </row>
    <row r="34" spans="1:48" s="103" customFormat="1" ht="26.25" customHeight="1">
      <c r="A34" s="283"/>
      <c r="B34" s="101"/>
      <c r="C34" s="101"/>
      <c r="D34" s="22"/>
      <c r="E34" s="104" t="s">
        <v>24</v>
      </c>
      <c r="F34" s="51" t="s">
        <v>248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248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/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/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427"/>
      <c r="D38" s="428"/>
      <c r="E38" s="79"/>
      <c r="F38" s="162" t="s">
        <v>43</v>
      </c>
      <c r="G38" s="222" t="s">
        <v>163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243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3">
        <v>10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10</v>
      </c>
      <c r="AU38" s="228"/>
      <c r="AV38" s="279">
        <f t="shared" si="5"/>
        <v>10</v>
      </c>
    </row>
    <row r="39" spans="1:48" s="62" customFormat="1" ht="24" customHeight="1">
      <c r="A39" s="59"/>
      <c r="B39" s="60"/>
      <c r="C39" s="60"/>
      <c r="D39" s="22"/>
      <c r="E39" s="79" t="s">
        <v>24</v>
      </c>
      <c r="F39" s="51" t="s">
        <v>43</v>
      </c>
      <c r="G39" s="275" t="s">
        <v>163</v>
      </c>
      <c r="H39" s="115" t="s">
        <v>91</v>
      </c>
      <c r="I39" s="115" t="s">
        <v>91</v>
      </c>
      <c r="J39" s="115">
        <v>96</v>
      </c>
      <c r="K39" s="115">
        <v>2</v>
      </c>
      <c r="L39" s="276">
        <v>543.58000000000004</v>
      </c>
      <c r="M39" s="277">
        <f t="shared" si="0"/>
        <v>192</v>
      </c>
      <c r="N39" s="276">
        <f t="shared" si="1"/>
        <v>104367.36000000002</v>
      </c>
      <c r="O39" s="115">
        <v>250</v>
      </c>
      <c r="P39" s="276">
        <v>123662.5</v>
      </c>
      <c r="Q39" s="115">
        <v>231</v>
      </c>
      <c r="R39" s="276">
        <v>123617.34</v>
      </c>
      <c r="S39" s="115">
        <v>502</v>
      </c>
      <c r="T39" s="276">
        <v>272877.15999999997</v>
      </c>
      <c r="U39" s="278" t="s">
        <v>164</v>
      </c>
      <c r="V39" s="115">
        <v>834</v>
      </c>
      <c r="W39" s="114">
        <v>43222</v>
      </c>
      <c r="X39" s="115" t="s">
        <v>162</v>
      </c>
      <c r="Y39" s="221">
        <v>43242</v>
      </c>
      <c r="Z39" s="115"/>
      <c r="AA39" s="115"/>
      <c r="AB39" s="35">
        <v>0</v>
      </c>
      <c r="AC39" s="170">
        <v>0</v>
      </c>
      <c r="AD39" s="208">
        <v>15</v>
      </c>
      <c r="AE39" s="170">
        <v>8028.3</v>
      </c>
      <c r="AF39" s="208"/>
      <c r="AG39" s="170"/>
      <c r="AH39" s="208"/>
      <c r="AI39" s="170"/>
      <c r="AJ39" s="233">
        <f t="shared" si="6"/>
        <v>15</v>
      </c>
      <c r="AK39" s="170">
        <f t="shared" si="6"/>
        <v>8028.3</v>
      </c>
      <c r="AL39" s="270">
        <v>0</v>
      </c>
      <c r="AM39" s="170">
        <v>0</v>
      </c>
      <c r="AN39" s="270">
        <v>15</v>
      </c>
      <c r="AO39" s="170">
        <f t="shared" si="2"/>
        <v>8028.3</v>
      </c>
      <c r="AP39" s="233"/>
      <c r="AQ39" s="233"/>
      <c r="AR39" s="170">
        <v>535.22</v>
      </c>
      <c r="AS39" s="170">
        <f t="shared" si="3"/>
        <v>0</v>
      </c>
      <c r="AT39" s="233">
        <f>15-15</f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/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204</v>
      </c>
      <c r="V40" s="115">
        <v>1405</v>
      </c>
      <c r="W40" s="114">
        <v>43052</v>
      </c>
      <c r="X40" s="115"/>
      <c r="Y40" s="115"/>
      <c r="Z40" s="115"/>
      <c r="AA40" s="115"/>
      <c r="AB40" s="35">
        <v>120</v>
      </c>
      <c r="AC40" s="170">
        <v>58734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f>15+30+10+25+20+20</f>
        <v>120</v>
      </c>
      <c r="AM40" s="170">
        <f>7341.75+14683.5+4894.5+12236.25+9789</f>
        <v>48945</v>
      </c>
      <c r="AN40" s="270">
        <v>0</v>
      </c>
      <c r="AO40" s="170">
        <f t="shared" si="2"/>
        <v>9789</v>
      </c>
      <c r="AP40" s="233"/>
      <c r="AQ40" s="233"/>
      <c r="AR40" s="170">
        <v>489.45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/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/>
      <c r="V41" s="115">
        <v>1476</v>
      </c>
      <c r="W41" s="114">
        <v>43066</v>
      </c>
      <c r="X41" s="115" t="s">
        <v>201</v>
      </c>
      <c r="Y41" s="221">
        <v>43068</v>
      </c>
      <c r="Z41" s="115" t="s">
        <v>210</v>
      </c>
      <c r="AA41" s="221">
        <v>43073</v>
      </c>
      <c r="AB41" s="35">
        <v>30</v>
      </c>
      <c r="AC41" s="170">
        <v>14683.5</v>
      </c>
      <c r="AD41" s="208"/>
      <c r="AE41" s="170"/>
      <c r="AF41" s="208"/>
      <c r="AG41" s="170"/>
      <c r="AH41" s="208"/>
      <c r="AI41" s="170"/>
      <c r="AJ41" s="233">
        <f t="shared" si="6"/>
        <v>0</v>
      </c>
      <c r="AK41" s="170">
        <f t="shared" si="6"/>
        <v>0</v>
      </c>
      <c r="AL41" s="270">
        <v>30</v>
      </c>
      <c r="AM41" s="170">
        <v>14683.5</v>
      </c>
      <c r="AN41" s="270">
        <v>0</v>
      </c>
      <c r="AO41" s="170">
        <f t="shared" si="2"/>
        <v>0</v>
      </c>
      <c r="AP41" s="233"/>
      <c r="AQ41" s="233"/>
      <c r="AR41" s="170"/>
      <c r="AS41" s="170">
        <f t="shared" si="3"/>
        <v>0</v>
      </c>
      <c r="AT41" s="208">
        <v>0</v>
      </c>
      <c r="AU41" s="170">
        <f t="shared" si="4"/>
        <v>0</v>
      </c>
      <c r="AV41" s="233">
        <f t="shared" si="5"/>
        <v>0</v>
      </c>
    </row>
    <row r="42" spans="1:48" s="62" customFormat="1" ht="24" customHeight="1">
      <c r="A42" s="59"/>
      <c r="B42" s="60"/>
      <c r="C42" s="60"/>
      <c r="D42" s="22"/>
      <c r="E42" s="79" t="s">
        <v>24</v>
      </c>
      <c r="F42" s="51" t="s">
        <v>48</v>
      </c>
      <c r="G42" s="275" t="s">
        <v>152</v>
      </c>
      <c r="H42" s="115" t="s">
        <v>91</v>
      </c>
      <c r="I42" s="115" t="s">
        <v>91</v>
      </c>
      <c r="J42" s="115">
        <v>360</v>
      </c>
      <c r="K42" s="115">
        <v>2</v>
      </c>
      <c r="L42" s="276">
        <v>497.09</v>
      </c>
      <c r="M42" s="277">
        <f t="shared" si="0"/>
        <v>720</v>
      </c>
      <c r="N42" s="276">
        <f t="shared" si="1"/>
        <v>357904.8</v>
      </c>
      <c r="O42" s="115">
        <v>150</v>
      </c>
      <c r="P42" s="276">
        <v>67861.5</v>
      </c>
      <c r="Q42" s="115">
        <v>300</v>
      </c>
      <c r="R42" s="276">
        <v>146787</v>
      </c>
      <c r="S42" s="115">
        <v>490</v>
      </c>
      <c r="T42" s="276">
        <v>243574.1</v>
      </c>
      <c r="U42" s="278" t="s">
        <v>151</v>
      </c>
      <c r="V42" s="115">
        <v>546</v>
      </c>
      <c r="W42" s="114">
        <v>43182</v>
      </c>
      <c r="X42" s="115" t="s">
        <v>149</v>
      </c>
      <c r="Y42" s="221">
        <v>43201</v>
      </c>
      <c r="Z42" s="115" t="s">
        <v>147</v>
      </c>
      <c r="AA42" s="221">
        <v>43252</v>
      </c>
      <c r="AB42" s="35">
        <v>0</v>
      </c>
      <c r="AC42" s="170">
        <v>0</v>
      </c>
      <c r="AD42" s="208">
        <v>65</v>
      </c>
      <c r="AE42" s="170">
        <v>31814.25</v>
      </c>
      <c r="AF42" s="208"/>
      <c r="AG42" s="170"/>
      <c r="AH42" s="208"/>
      <c r="AI42" s="170"/>
      <c r="AJ42" s="233">
        <f t="shared" si="6"/>
        <v>65</v>
      </c>
      <c r="AK42" s="170">
        <f t="shared" si="6"/>
        <v>31814.25</v>
      </c>
      <c r="AL42" s="270">
        <v>0</v>
      </c>
      <c r="AM42" s="170">
        <v>0</v>
      </c>
      <c r="AN42" s="270">
        <v>65</v>
      </c>
      <c r="AO42" s="170">
        <f t="shared" si="2"/>
        <v>31814.25</v>
      </c>
      <c r="AP42" s="233"/>
      <c r="AQ42" s="233"/>
      <c r="AR42" s="170">
        <v>489.45</v>
      </c>
      <c r="AS42" s="170">
        <f t="shared" si="3"/>
        <v>0</v>
      </c>
      <c r="AT42" s="233">
        <f>35-35</f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1" t="s">
        <v>44</v>
      </c>
      <c r="G43" s="275" t="s">
        <v>116</v>
      </c>
      <c r="H43" s="115" t="s">
        <v>91</v>
      </c>
      <c r="I43" s="115" t="s">
        <v>91</v>
      </c>
      <c r="J43" s="115">
        <v>1750</v>
      </c>
      <c r="K43" s="115">
        <v>2</v>
      </c>
      <c r="L43" s="276">
        <v>199.06</v>
      </c>
      <c r="M43" s="277">
        <f t="shared" si="0"/>
        <v>3500</v>
      </c>
      <c r="N43" s="276">
        <f t="shared" si="1"/>
        <v>696710</v>
      </c>
      <c r="O43" s="115">
        <v>1000</v>
      </c>
      <c r="P43" s="276">
        <v>255340</v>
      </c>
      <c r="Q43" s="115"/>
      <c r="R43" s="276"/>
      <c r="S43" s="115">
        <v>368</v>
      </c>
      <c r="T43" s="276">
        <v>73254.080000000002</v>
      </c>
      <c r="U43" s="278" t="s">
        <v>119</v>
      </c>
      <c r="V43" s="115">
        <v>1583</v>
      </c>
      <c r="W43" s="114">
        <v>43082</v>
      </c>
      <c r="X43" s="115" t="s">
        <v>113</v>
      </c>
      <c r="Y43" s="221">
        <v>43109</v>
      </c>
      <c r="Z43" s="115" t="s">
        <v>110</v>
      </c>
      <c r="AA43" s="221">
        <v>43111</v>
      </c>
      <c r="AB43" s="22">
        <v>0</v>
      </c>
      <c r="AC43" s="170">
        <v>0</v>
      </c>
      <c r="AD43" s="208">
        <v>50</v>
      </c>
      <c r="AE43" s="170">
        <v>10109</v>
      </c>
      <c r="AF43" s="208"/>
      <c r="AG43" s="170"/>
      <c r="AH43" s="208"/>
      <c r="AI43" s="170"/>
      <c r="AJ43" s="233">
        <f t="shared" si="6"/>
        <v>50</v>
      </c>
      <c r="AK43" s="170">
        <f t="shared" si="6"/>
        <v>10109</v>
      </c>
      <c r="AL43" s="270">
        <v>10</v>
      </c>
      <c r="AM43" s="170">
        <f>AL43*AR43</f>
        <v>2021.8000000000002</v>
      </c>
      <c r="AN43" s="270">
        <v>40</v>
      </c>
      <c r="AO43" s="170">
        <f t="shared" si="2"/>
        <v>8087.2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1" t="s">
        <v>54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119</v>
      </c>
      <c r="V44" s="115">
        <v>1745</v>
      </c>
      <c r="W44" s="114">
        <v>43096</v>
      </c>
      <c r="X44" s="115" t="s">
        <v>117</v>
      </c>
      <c r="Y44" s="221">
        <v>43109</v>
      </c>
      <c r="Z44" s="115" t="s">
        <v>118</v>
      </c>
      <c r="AA44" s="221">
        <v>43133</v>
      </c>
      <c r="AB44" s="22">
        <v>0</v>
      </c>
      <c r="AC44" s="170">
        <v>0</v>
      </c>
      <c r="AD44" s="208">
        <v>45</v>
      </c>
      <c r="AE44" s="170">
        <v>9098.1</v>
      </c>
      <c r="AF44" s="208"/>
      <c r="AG44" s="170"/>
      <c r="AH44" s="208"/>
      <c r="AI44" s="170"/>
      <c r="AJ44" s="233">
        <f t="shared" si="6"/>
        <v>45</v>
      </c>
      <c r="AK44" s="170">
        <f t="shared" si="6"/>
        <v>9098.1</v>
      </c>
      <c r="AL44" s="270">
        <v>0</v>
      </c>
      <c r="AM44" s="170">
        <v>0</v>
      </c>
      <c r="AN44" s="270">
        <v>45</v>
      </c>
      <c r="AO44" s="170">
        <f t="shared" si="2"/>
        <v>9098.1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1" t="s">
        <v>44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134</v>
      </c>
      <c r="V45" s="115">
        <v>426</v>
      </c>
      <c r="W45" s="114">
        <v>43164</v>
      </c>
      <c r="X45" s="115" t="s">
        <v>141</v>
      </c>
      <c r="Y45" s="221">
        <v>43164</v>
      </c>
      <c r="Z45" s="115" t="s">
        <v>142</v>
      </c>
      <c r="AA45" s="221">
        <v>43230</v>
      </c>
      <c r="AB45" s="22">
        <v>0</v>
      </c>
      <c r="AC45" s="170">
        <v>0</v>
      </c>
      <c r="AD45" s="208">
        <v>50</v>
      </c>
      <c r="AE45" s="170">
        <v>10109</v>
      </c>
      <c r="AF45" s="208"/>
      <c r="AG45" s="170"/>
      <c r="AH45" s="208"/>
      <c r="AI45" s="170"/>
      <c r="AJ45" s="233">
        <f t="shared" si="6"/>
        <v>50</v>
      </c>
      <c r="AK45" s="170">
        <f t="shared" si="6"/>
        <v>10109</v>
      </c>
      <c r="AL45" s="270">
        <v>0</v>
      </c>
      <c r="AM45" s="170">
        <v>0</v>
      </c>
      <c r="AN45" s="270">
        <v>50</v>
      </c>
      <c r="AO45" s="170">
        <f t="shared" si="2"/>
        <v>10109</v>
      </c>
      <c r="AP45" s="233"/>
      <c r="AQ45" s="233"/>
      <c r="AR45" s="170">
        <v>202.18</v>
      </c>
      <c r="AS45" s="170">
        <f t="shared" si="3"/>
        <v>0</v>
      </c>
      <c r="AT45" s="233">
        <v>0</v>
      </c>
      <c r="AU45" s="386">
        <f t="shared" si="4"/>
        <v>0</v>
      </c>
      <c r="AV45" s="233">
        <f t="shared" si="5"/>
        <v>0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134</v>
      </c>
      <c r="V46" s="115">
        <v>260</v>
      </c>
      <c r="W46" s="114">
        <v>43145</v>
      </c>
      <c r="X46" s="115" t="s">
        <v>94</v>
      </c>
      <c r="Y46" s="221">
        <v>43164</v>
      </c>
      <c r="Z46" s="115"/>
      <c r="AA46" s="115"/>
      <c r="AB46" s="22">
        <v>0</v>
      </c>
      <c r="AC46" s="170">
        <v>0</v>
      </c>
      <c r="AD46" s="208">
        <v>110</v>
      </c>
      <c r="AE46" s="170">
        <v>22239.8</v>
      </c>
      <c r="AF46" s="208"/>
      <c r="AG46" s="170"/>
      <c r="AH46" s="208"/>
      <c r="AI46" s="170"/>
      <c r="AJ46" s="233">
        <f t="shared" si="6"/>
        <v>110</v>
      </c>
      <c r="AK46" s="170">
        <f t="shared" si="6"/>
        <v>22239.8</v>
      </c>
      <c r="AL46" s="270">
        <v>0</v>
      </c>
      <c r="AM46" s="170">
        <v>0</v>
      </c>
      <c r="AN46" s="270">
        <v>110</v>
      </c>
      <c r="AO46" s="170">
        <f t="shared" si="2"/>
        <v>22239.8</v>
      </c>
      <c r="AP46" s="233"/>
      <c r="AQ46" s="233"/>
      <c r="AR46" s="170">
        <v>202.18</v>
      </c>
      <c r="AS46" s="170">
        <f t="shared" si="3"/>
        <v>0</v>
      </c>
      <c r="AT46" s="233">
        <f>25-25</f>
        <v>0</v>
      </c>
      <c r="AU46" s="386">
        <f t="shared" si="4"/>
        <v>0</v>
      </c>
      <c r="AV46" s="233">
        <f t="shared" si="5"/>
        <v>0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150</v>
      </c>
      <c r="V47" s="115">
        <v>546</v>
      </c>
      <c r="W47" s="114">
        <v>43182</v>
      </c>
      <c r="X47" s="115" t="s">
        <v>149</v>
      </c>
      <c r="Y47" s="221">
        <v>43201</v>
      </c>
      <c r="Z47" s="115" t="s">
        <v>147</v>
      </c>
      <c r="AA47" s="221">
        <v>43252</v>
      </c>
      <c r="AB47" s="22">
        <v>0</v>
      </c>
      <c r="AC47" s="170">
        <v>0</v>
      </c>
      <c r="AD47" s="208">
        <v>105</v>
      </c>
      <c r="AE47" s="170">
        <v>21228.9</v>
      </c>
      <c r="AF47" s="208"/>
      <c r="AG47" s="170"/>
      <c r="AH47" s="208"/>
      <c r="AI47" s="170"/>
      <c r="AJ47" s="233">
        <f t="shared" si="6"/>
        <v>105</v>
      </c>
      <c r="AK47" s="170">
        <f t="shared" si="6"/>
        <v>21228.9</v>
      </c>
      <c r="AL47" s="270">
        <v>0</v>
      </c>
      <c r="AM47" s="170">
        <v>0</v>
      </c>
      <c r="AN47" s="270">
        <v>105</v>
      </c>
      <c r="AO47" s="170">
        <f t="shared" si="2"/>
        <v>21228.9</v>
      </c>
      <c r="AP47" s="233"/>
      <c r="AQ47" s="233"/>
      <c r="AR47" s="170">
        <v>202.18</v>
      </c>
      <c r="AS47" s="170">
        <f t="shared" si="3"/>
        <v>0</v>
      </c>
      <c r="AT47" s="233">
        <f>105-105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150</v>
      </c>
      <c r="V48" s="115">
        <v>659</v>
      </c>
      <c r="W48" s="114">
        <v>43201</v>
      </c>
      <c r="X48" s="115" t="s">
        <v>159</v>
      </c>
      <c r="Y48" s="221">
        <v>43213</v>
      </c>
      <c r="Z48" s="115" t="s">
        <v>160</v>
      </c>
      <c r="AA48" s="221">
        <v>43255</v>
      </c>
      <c r="AB48" s="22">
        <v>0</v>
      </c>
      <c r="AC48" s="170">
        <v>0</v>
      </c>
      <c r="AD48" s="208">
        <v>80</v>
      </c>
      <c r="AE48" s="170">
        <v>16174.4</v>
      </c>
      <c r="AF48" s="208"/>
      <c r="AG48" s="170"/>
      <c r="AH48" s="208"/>
      <c r="AI48" s="170"/>
      <c r="AJ48" s="233">
        <f t="shared" si="6"/>
        <v>80</v>
      </c>
      <c r="AK48" s="170">
        <f t="shared" si="6"/>
        <v>16174.4</v>
      </c>
      <c r="AL48" s="270">
        <v>0</v>
      </c>
      <c r="AM48" s="170">
        <v>0</v>
      </c>
      <c r="AN48" s="270">
        <v>80</v>
      </c>
      <c r="AO48" s="170">
        <f t="shared" si="2"/>
        <v>16174.4</v>
      </c>
      <c r="AP48" s="233"/>
      <c r="AQ48" s="233"/>
      <c r="AR48" s="170">
        <v>202.18</v>
      </c>
      <c r="AS48" s="170">
        <f t="shared" si="3"/>
        <v>0</v>
      </c>
      <c r="AT48" s="233">
        <f>80-80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169</v>
      </c>
      <c r="V49" s="115">
        <v>834</v>
      </c>
      <c r="W49" s="114">
        <v>43222</v>
      </c>
      <c r="X49" s="115" t="s">
        <v>162</v>
      </c>
      <c r="Y49" s="221">
        <v>43242</v>
      </c>
      <c r="Z49" s="115"/>
      <c r="AA49" s="115"/>
      <c r="AB49" s="35">
        <v>0</v>
      </c>
      <c r="AC49" s="170">
        <v>0</v>
      </c>
      <c r="AD49" s="208">
        <v>95</v>
      </c>
      <c r="AE49" s="170">
        <v>19207.099999999999</v>
      </c>
      <c r="AF49" s="208"/>
      <c r="AG49" s="170"/>
      <c r="AH49" s="208"/>
      <c r="AI49" s="170"/>
      <c r="AJ49" s="233">
        <f t="shared" si="6"/>
        <v>95</v>
      </c>
      <c r="AK49" s="170">
        <f t="shared" si="6"/>
        <v>19207.099999999999</v>
      </c>
      <c r="AL49" s="270">
        <v>0</v>
      </c>
      <c r="AM49" s="170">
        <v>0</v>
      </c>
      <c r="AN49" s="270">
        <v>95</v>
      </c>
      <c r="AO49" s="170">
        <f t="shared" si="2"/>
        <v>19207.099999999999</v>
      </c>
      <c r="AP49" s="233"/>
      <c r="AQ49" s="233"/>
      <c r="AR49" s="170">
        <v>202.18</v>
      </c>
      <c r="AS49" s="170">
        <f>AQ49*AR49</f>
        <v>0</v>
      </c>
      <c r="AT49" s="233">
        <f>95-45-50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1" t="s">
        <v>44</v>
      </c>
      <c r="G50" s="275" t="s">
        <v>116</v>
      </c>
      <c r="H50" s="115" t="s">
        <v>91</v>
      </c>
      <c r="I50" s="115" t="s">
        <v>91</v>
      </c>
      <c r="J50" s="115"/>
      <c r="K50" s="115"/>
      <c r="L50" s="276"/>
      <c r="M50" s="277">
        <f t="shared" si="0"/>
        <v>0</v>
      </c>
      <c r="N50" s="276">
        <f t="shared" si="1"/>
        <v>0</v>
      </c>
      <c r="O50" s="115"/>
      <c r="P50" s="276"/>
      <c r="Q50" s="115"/>
      <c r="R50" s="276"/>
      <c r="S50" s="115"/>
      <c r="T50" s="276"/>
      <c r="U50" s="278" t="s">
        <v>180</v>
      </c>
      <c r="V50" s="115">
        <v>1006</v>
      </c>
      <c r="W50" s="114">
        <v>43244</v>
      </c>
      <c r="X50" s="115" t="s">
        <v>179</v>
      </c>
      <c r="Y50" s="221">
        <v>43285</v>
      </c>
      <c r="Z50" s="115"/>
      <c r="AA50" s="115"/>
      <c r="AB50" s="35">
        <v>0</v>
      </c>
      <c r="AC50" s="170">
        <v>0</v>
      </c>
      <c r="AD50" s="208">
        <v>20</v>
      </c>
      <c r="AE50" s="170">
        <v>3920</v>
      </c>
      <c r="AF50" s="208"/>
      <c r="AG50" s="170"/>
      <c r="AH50" s="208"/>
      <c r="AI50" s="170"/>
      <c r="AJ50" s="233">
        <f t="shared" si="6"/>
        <v>20</v>
      </c>
      <c r="AK50" s="170">
        <f t="shared" si="6"/>
        <v>3920</v>
      </c>
      <c r="AL50" s="270">
        <v>0</v>
      </c>
      <c r="AM50" s="170">
        <v>0</v>
      </c>
      <c r="AN50" s="270">
        <v>20</v>
      </c>
      <c r="AO50" s="170">
        <f t="shared" si="2"/>
        <v>3920</v>
      </c>
      <c r="AP50" s="233"/>
      <c r="AQ50" s="233"/>
      <c r="AR50" s="170">
        <v>196</v>
      </c>
      <c r="AS50" s="170">
        <f t="shared" si="3"/>
        <v>0</v>
      </c>
      <c r="AT50" s="233">
        <f>20-20</f>
        <v>0</v>
      </c>
      <c r="AU50" s="386">
        <f t="shared" si="4"/>
        <v>0</v>
      </c>
      <c r="AV50" s="233">
        <f t="shared" si="5"/>
        <v>0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176</v>
      </c>
      <c r="V51" s="115">
        <v>877</v>
      </c>
      <c r="W51" s="114">
        <v>43230</v>
      </c>
      <c r="X51" s="193" t="s">
        <v>174</v>
      </c>
      <c r="Y51" s="200">
        <v>43285</v>
      </c>
      <c r="Z51" s="193"/>
      <c r="AA51" s="193"/>
      <c r="AB51" s="35">
        <v>0</v>
      </c>
      <c r="AC51" s="170">
        <v>0</v>
      </c>
      <c r="AD51" s="209">
        <v>225</v>
      </c>
      <c r="AE51" s="194">
        <v>45490.5</v>
      </c>
      <c r="AF51" s="209"/>
      <c r="AG51" s="194"/>
      <c r="AH51" s="209"/>
      <c r="AI51" s="194"/>
      <c r="AJ51" s="233">
        <f t="shared" si="6"/>
        <v>225</v>
      </c>
      <c r="AK51" s="170">
        <f t="shared" si="6"/>
        <v>45490.5</v>
      </c>
      <c r="AL51" s="272">
        <v>0</v>
      </c>
      <c r="AM51" s="212">
        <v>0</v>
      </c>
      <c r="AN51" s="269">
        <v>225</v>
      </c>
      <c r="AO51" s="217">
        <f t="shared" si="2"/>
        <v>45490.5</v>
      </c>
      <c r="AP51" s="232"/>
      <c r="AQ51" s="229"/>
      <c r="AR51" s="212">
        <v>202.18</v>
      </c>
      <c r="AS51" s="212">
        <f t="shared" si="3"/>
        <v>0</v>
      </c>
      <c r="AT51" s="261">
        <f>225-130-95</f>
        <v>0</v>
      </c>
      <c r="AU51" s="228">
        <f t="shared" si="4"/>
        <v>0</v>
      </c>
      <c r="AV51" s="279">
        <f t="shared" si="5"/>
        <v>0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149" t="s">
        <v>44</v>
      </c>
      <c r="G52" s="222" t="s">
        <v>116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186</v>
      </c>
      <c r="V52" s="115">
        <v>1418</v>
      </c>
      <c r="W52" s="114">
        <v>43312</v>
      </c>
      <c r="X52" s="193" t="s">
        <v>184</v>
      </c>
      <c r="Y52" s="200">
        <v>43332</v>
      </c>
      <c r="Z52" s="193" t="s">
        <v>185</v>
      </c>
      <c r="AA52" s="200">
        <v>43320</v>
      </c>
      <c r="AB52" s="22">
        <v>0</v>
      </c>
      <c r="AC52" s="170">
        <v>0</v>
      </c>
      <c r="AD52" s="209">
        <v>55</v>
      </c>
      <c r="AE52" s="194">
        <v>10780</v>
      </c>
      <c r="AF52" s="209"/>
      <c r="AG52" s="194"/>
      <c r="AH52" s="209"/>
      <c r="AI52" s="194"/>
      <c r="AJ52" s="233">
        <f t="shared" si="6"/>
        <v>55</v>
      </c>
      <c r="AK52" s="170">
        <f t="shared" si="6"/>
        <v>10780</v>
      </c>
      <c r="AL52" s="272">
        <v>0</v>
      </c>
      <c r="AM52" s="212">
        <v>0</v>
      </c>
      <c r="AN52" s="269">
        <v>55</v>
      </c>
      <c r="AO52" s="217">
        <v>0</v>
      </c>
      <c r="AP52" s="232"/>
      <c r="AQ52" s="229"/>
      <c r="AR52" s="212">
        <v>196</v>
      </c>
      <c r="AS52" s="212">
        <f t="shared" si="3"/>
        <v>0</v>
      </c>
      <c r="AT52" s="261">
        <f>55-15</f>
        <v>40</v>
      </c>
      <c r="AU52" s="228">
        <f t="shared" si="4"/>
        <v>7840</v>
      </c>
      <c r="AV52" s="279">
        <f t="shared" si="5"/>
        <v>40</v>
      </c>
    </row>
    <row r="53" spans="1:48" s="62" customFormat="1" ht="26.25" customHeight="1">
      <c r="A53" s="59"/>
      <c r="B53" s="60"/>
      <c r="C53" s="60"/>
      <c r="D53" s="22"/>
      <c r="E53" s="79"/>
      <c r="F53" s="149" t="s">
        <v>44</v>
      </c>
      <c r="G53" s="222" t="s">
        <v>116</v>
      </c>
      <c r="H53" s="193"/>
      <c r="I53" s="193"/>
      <c r="J53" s="193"/>
      <c r="K53" s="193"/>
      <c r="L53" s="243"/>
      <c r="M53" s="242"/>
      <c r="N53" s="243"/>
      <c r="O53" s="193"/>
      <c r="P53" s="243"/>
      <c r="Q53" s="193"/>
      <c r="R53" s="243"/>
      <c r="S53" s="193"/>
      <c r="T53" s="243"/>
      <c r="U53" s="203"/>
      <c r="V53" s="115"/>
      <c r="W53" s="114"/>
      <c r="X53" s="193"/>
      <c r="Y53" s="200"/>
      <c r="Z53" s="193"/>
      <c r="AA53" s="200"/>
      <c r="AB53" s="22"/>
      <c r="AC53" s="170"/>
      <c r="AD53" s="209"/>
      <c r="AE53" s="194"/>
      <c r="AF53" s="209"/>
      <c r="AG53" s="194"/>
      <c r="AH53" s="209"/>
      <c r="AI53" s="194"/>
      <c r="AJ53" s="233">
        <v>15</v>
      </c>
      <c r="AK53" s="170"/>
      <c r="AL53" s="272"/>
      <c r="AM53" s="212"/>
      <c r="AN53" s="269"/>
      <c r="AO53" s="217"/>
      <c r="AP53" s="232"/>
      <c r="AQ53" s="229"/>
      <c r="AR53" s="212"/>
      <c r="AS53" s="212"/>
      <c r="AT53" s="227">
        <v>15</v>
      </c>
      <c r="AU53" s="228"/>
      <c r="AV53" s="279">
        <v>15</v>
      </c>
    </row>
    <row r="54" spans="1:48" s="62" customFormat="1" ht="27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1625</v>
      </c>
      <c r="W54" s="114">
        <v>43087</v>
      </c>
      <c r="X54" s="115" t="s">
        <v>109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5</v>
      </c>
      <c r="AE54" s="170">
        <v>1010.9</v>
      </c>
      <c r="AF54" s="208"/>
      <c r="AG54" s="170"/>
      <c r="AH54" s="208"/>
      <c r="AI54" s="170"/>
      <c r="AJ54" s="233">
        <f t="shared" si="6"/>
        <v>5</v>
      </c>
      <c r="AK54" s="170">
        <f t="shared" si="6"/>
        <v>1010.9</v>
      </c>
      <c r="AL54" s="270">
        <v>5</v>
      </c>
      <c r="AM54" s="170">
        <v>1010.9</v>
      </c>
      <c r="AN54" s="270">
        <v>0</v>
      </c>
      <c r="AO54" s="170">
        <f t="shared" si="2"/>
        <v>0</v>
      </c>
      <c r="AP54" s="233"/>
      <c r="AQ54" s="233"/>
      <c r="AR54" s="170"/>
      <c r="AS54" s="170">
        <f t="shared" si="3"/>
        <v>0</v>
      </c>
      <c r="AT54" s="208">
        <v>0</v>
      </c>
      <c r="AU54" s="170">
        <f t="shared" si="4"/>
        <v>0</v>
      </c>
      <c r="AV54" s="233">
        <f t="shared" si="5"/>
        <v>0</v>
      </c>
    </row>
    <row r="55" spans="1:48" s="62" customFormat="1" ht="27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>
        <v>2016</v>
      </c>
      <c r="K55" s="115">
        <v>2</v>
      </c>
      <c r="L55" s="276">
        <v>199.06</v>
      </c>
      <c r="M55" s="277">
        <f t="shared" si="0"/>
        <v>4032</v>
      </c>
      <c r="N55" s="276">
        <f t="shared" si="1"/>
        <v>802609.92</v>
      </c>
      <c r="O55" s="115">
        <v>4130</v>
      </c>
      <c r="P55" s="276">
        <v>1054554.2</v>
      </c>
      <c r="Q55" s="115"/>
      <c r="R55" s="276"/>
      <c r="S55" s="115"/>
      <c r="T55" s="276"/>
      <c r="U55" s="278" t="s">
        <v>112</v>
      </c>
      <c r="V55" s="115">
        <v>1583</v>
      </c>
      <c r="W55" s="114">
        <v>43082</v>
      </c>
      <c r="X55" s="115" t="s">
        <v>113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490</v>
      </c>
      <c r="AE55" s="170">
        <v>99068.2</v>
      </c>
      <c r="AF55" s="208"/>
      <c r="AG55" s="170"/>
      <c r="AH55" s="208"/>
      <c r="AI55" s="170"/>
      <c r="AJ55" s="233">
        <f t="shared" si="6"/>
        <v>490</v>
      </c>
      <c r="AK55" s="170">
        <f t="shared" si="6"/>
        <v>99068.2</v>
      </c>
      <c r="AL55" s="270">
        <f>135+130+130</f>
        <v>395</v>
      </c>
      <c r="AM55" s="170">
        <f>AL55*AR55</f>
        <v>79861.100000000006</v>
      </c>
      <c r="AN55" s="270">
        <v>95</v>
      </c>
      <c r="AO55" s="170">
        <f t="shared" si="2"/>
        <v>19207.099999999991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f t="shared" si="5"/>
        <v>0</v>
      </c>
    </row>
    <row r="56" spans="1:48" s="62" customFormat="1" ht="27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112</v>
      </c>
      <c r="V56" s="115">
        <v>1745</v>
      </c>
      <c r="W56" s="114">
        <v>43096</v>
      </c>
      <c r="X56" s="115" t="s">
        <v>117</v>
      </c>
      <c r="Y56" s="221">
        <v>43109</v>
      </c>
      <c r="Z56" s="115" t="s">
        <v>118</v>
      </c>
      <c r="AA56" s="221">
        <v>43133</v>
      </c>
      <c r="AB56" s="22">
        <v>0</v>
      </c>
      <c r="AC56" s="170">
        <v>0</v>
      </c>
      <c r="AD56" s="208">
        <v>195</v>
      </c>
      <c r="AE56" s="170">
        <v>39425.1</v>
      </c>
      <c r="AF56" s="208"/>
      <c r="AG56" s="170"/>
      <c r="AH56" s="208"/>
      <c r="AI56" s="170"/>
      <c r="AJ56" s="233">
        <f t="shared" si="6"/>
        <v>195</v>
      </c>
      <c r="AK56" s="170">
        <f t="shared" si="6"/>
        <v>39425.1</v>
      </c>
      <c r="AL56" s="270">
        <v>0</v>
      </c>
      <c r="AM56" s="170">
        <v>0</v>
      </c>
      <c r="AN56" s="270">
        <v>195</v>
      </c>
      <c r="AO56" s="170">
        <f t="shared" si="2"/>
        <v>39425.1</v>
      </c>
      <c r="AP56" s="233"/>
      <c r="AQ56" s="233"/>
      <c r="AR56" s="170">
        <v>202.18</v>
      </c>
      <c r="AS56" s="170">
        <f t="shared" si="3"/>
        <v>0</v>
      </c>
      <c r="AT56" s="233">
        <f>160-140-20</f>
        <v>0</v>
      </c>
      <c r="AU56" s="386">
        <f t="shared" si="4"/>
        <v>0</v>
      </c>
      <c r="AV56" s="233">
        <f t="shared" si="5"/>
        <v>0</v>
      </c>
    </row>
    <row r="57" spans="1:48" s="62" customFormat="1" ht="26.25" customHeight="1">
      <c r="A57" s="59"/>
      <c r="B57" s="60"/>
      <c r="C57" s="60"/>
      <c r="D57" s="22"/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426</v>
      </c>
      <c r="W57" s="114">
        <v>43164</v>
      </c>
      <c r="X57" s="193" t="s">
        <v>141</v>
      </c>
      <c r="Y57" s="200">
        <v>43164</v>
      </c>
      <c r="Z57" s="193" t="s">
        <v>142</v>
      </c>
      <c r="AA57" s="200">
        <v>43230</v>
      </c>
      <c r="AB57" s="22">
        <v>0</v>
      </c>
      <c r="AC57" s="170">
        <v>0</v>
      </c>
      <c r="AD57" s="209">
        <v>170</v>
      </c>
      <c r="AE57" s="194">
        <v>34370.6</v>
      </c>
      <c r="AF57" s="209"/>
      <c r="AG57" s="194"/>
      <c r="AH57" s="209"/>
      <c r="AI57" s="194"/>
      <c r="AJ57" s="233">
        <f t="shared" si="6"/>
        <v>170</v>
      </c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61">
        <f>170-110-60</f>
        <v>0</v>
      </c>
      <c r="AU57" s="228">
        <f t="shared" si="4"/>
        <v>0</v>
      </c>
      <c r="AV57" s="279">
        <f t="shared" si="5"/>
        <v>0</v>
      </c>
    </row>
    <row r="58" spans="1:48" s="62" customFormat="1" ht="26.25" customHeight="1">
      <c r="A58" s="59"/>
      <c r="B58" s="60"/>
      <c r="C58" s="60"/>
      <c r="D58" s="22"/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320</v>
      </c>
      <c r="AE58" s="194">
        <v>64697.599999999999</v>
      </c>
      <c r="AF58" s="209"/>
      <c r="AG58" s="194"/>
      <c r="AH58" s="209"/>
      <c r="AI58" s="194"/>
      <c r="AJ58" s="233">
        <f t="shared" si="6"/>
        <v>320</v>
      </c>
      <c r="AK58" s="170">
        <f t="shared" si="6"/>
        <v>64697.599999999999</v>
      </c>
      <c r="AL58" s="272">
        <v>0</v>
      </c>
      <c r="AM58" s="212">
        <v>0</v>
      </c>
      <c r="AN58" s="269">
        <v>320</v>
      </c>
      <c r="AO58" s="217">
        <f t="shared" si="2"/>
        <v>64697.599999999999</v>
      </c>
      <c r="AP58" s="232"/>
      <c r="AQ58" s="229"/>
      <c r="AR58" s="212">
        <v>202.18</v>
      </c>
      <c r="AS58" s="212">
        <f t="shared" si="3"/>
        <v>0</v>
      </c>
      <c r="AT58" s="261">
        <f>320-70</f>
        <v>250</v>
      </c>
      <c r="AU58" s="228">
        <f t="shared" si="4"/>
        <v>50545</v>
      </c>
      <c r="AV58" s="279">
        <f t="shared" si="5"/>
        <v>250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132</v>
      </c>
      <c r="V59" s="115">
        <v>234</v>
      </c>
      <c r="W59" s="114">
        <v>43143</v>
      </c>
      <c r="X59" s="193" t="s">
        <v>143</v>
      </c>
      <c r="Y59" s="200">
        <v>43164</v>
      </c>
      <c r="Z59" s="193"/>
      <c r="AA59" s="193"/>
      <c r="AB59" s="22">
        <v>0</v>
      </c>
      <c r="AC59" s="170">
        <v>0</v>
      </c>
      <c r="AD59" s="209">
        <v>15</v>
      </c>
      <c r="AE59" s="194">
        <v>3032.7</v>
      </c>
      <c r="AF59" s="209"/>
      <c r="AG59" s="194"/>
      <c r="AH59" s="209"/>
      <c r="AI59" s="194"/>
      <c r="AJ59" s="233">
        <f t="shared" si="6"/>
        <v>15</v>
      </c>
      <c r="AK59" s="170">
        <f t="shared" si="6"/>
        <v>3032.7</v>
      </c>
      <c r="AL59" s="272">
        <v>0</v>
      </c>
      <c r="AM59" s="212">
        <v>0</v>
      </c>
      <c r="AN59" s="269">
        <v>15</v>
      </c>
      <c r="AO59" s="217">
        <f t="shared" si="2"/>
        <v>3032.7</v>
      </c>
      <c r="AP59" s="232"/>
      <c r="AQ59" s="229"/>
      <c r="AR59" s="212">
        <v>202.18</v>
      </c>
      <c r="AS59" s="212">
        <f t="shared" si="3"/>
        <v>0</v>
      </c>
      <c r="AT59" s="227">
        <v>15</v>
      </c>
      <c r="AU59" s="228">
        <f t="shared" si="4"/>
        <v>3032.7000000000003</v>
      </c>
      <c r="AV59" s="279">
        <f t="shared" si="5"/>
        <v>15</v>
      </c>
    </row>
    <row r="60" spans="1:48" s="62" customFormat="1" ht="27" customHeight="1">
      <c r="A60" s="59"/>
      <c r="B60" s="60"/>
      <c r="C60" s="60"/>
      <c r="D60" s="22"/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356</v>
      </c>
      <c r="W60" s="114">
        <v>43159</v>
      </c>
      <c r="X60" s="193" t="s">
        <v>136</v>
      </c>
      <c r="Y60" s="200">
        <v>43164</v>
      </c>
      <c r="Z60" s="193"/>
      <c r="AA60" s="193"/>
      <c r="AB60" s="22">
        <v>0</v>
      </c>
      <c r="AC60" s="170">
        <v>0</v>
      </c>
      <c r="AD60" s="209">
        <v>170</v>
      </c>
      <c r="AE60" s="194">
        <v>34370.6</v>
      </c>
      <c r="AF60" s="209"/>
      <c r="AG60" s="194"/>
      <c r="AH60" s="209"/>
      <c r="AI60" s="194"/>
      <c r="AJ60" s="233">
        <f t="shared" si="6"/>
        <v>170</v>
      </c>
      <c r="AK60" s="170">
        <f t="shared" si="6"/>
        <v>34370.6</v>
      </c>
      <c r="AL60" s="272">
        <v>0</v>
      </c>
      <c r="AM60" s="212">
        <v>0</v>
      </c>
      <c r="AN60" s="269">
        <v>170</v>
      </c>
      <c r="AO60" s="217">
        <f t="shared" si="2"/>
        <v>34370.6</v>
      </c>
      <c r="AP60" s="232"/>
      <c r="AQ60" s="229"/>
      <c r="AR60" s="212">
        <v>202.18</v>
      </c>
      <c r="AS60" s="212">
        <f t="shared" si="3"/>
        <v>0</v>
      </c>
      <c r="AT60" s="227">
        <v>170</v>
      </c>
      <c r="AU60" s="228">
        <f t="shared" si="4"/>
        <v>34370.6</v>
      </c>
      <c r="AV60" s="279">
        <f t="shared" si="5"/>
        <v>170</v>
      </c>
    </row>
    <row r="61" spans="1:48" s="62" customFormat="1" ht="27" customHeight="1">
      <c r="A61" s="59"/>
      <c r="B61" s="60"/>
      <c r="C61" s="60"/>
      <c r="D61" s="22"/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133</v>
      </c>
      <c r="V61" s="115">
        <v>260</v>
      </c>
      <c r="W61" s="114">
        <v>43145</v>
      </c>
      <c r="X61" s="193" t="s">
        <v>94</v>
      </c>
      <c r="Y61" s="200">
        <v>43164</v>
      </c>
      <c r="Z61" s="193"/>
      <c r="AA61" s="193"/>
      <c r="AB61" s="22">
        <v>0</v>
      </c>
      <c r="AC61" s="170">
        <v>0</v>
      </c>
      <c r="AD61" s="209">
        <v>665</v>
      </c>
      <c r="AE61" s="194">
        <v>134449.70000000001</v>
      </c>
      <c r="AF61" s="209"/>
      <c r="AG61" s="194"/>
      <c r="AH61" s="209"/>
      <c r="AI61" s="194"/>
      <c r="AJ61" s="233">
        <f t="shared" si="6"/>
        <v>665</v>
      </c>
      <c r="AK61" s="170">
        <f t="shared" si="6"/>
        <v>134449.70000000001</v>
      </c>
      <c r="AL61" s="272">
        <v>0</v>
      </c>
      <c r="AM61" s="212">
        <v>0</v>
      </c>
      <c r="AN61" s="269">
        <v>665</v>
      </c>
      <c r="AO61" s="217">
        <f t="shared" si="2"/>
        <v>134449.70000000001</v>
      </c>
      <c r="AP61" s="232"/>
      <c r="AQ61" s="229"/>
      <c r="AR61" s="212">
        <v>202.18</v>
      </c>
      <c r="AS61" s="212">
        <f t="shared" si="3"/>
        <v>0</v>
      </c>
      <c r="AT61" s="227">
        <v>665</v>
      </c>
      <c r="AU61" s="228">
        <f t="shared" si="4"/>
        <v>134449.70000000001</v>
      </c>
      <c r="AV61" s="279">
        <f t="shared" si="5"/>
        <v>665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68</v>
      </c>
      <c r="W62" s="114">
        <v>43116</v>
      </c>
      <c r="X62" s="193" t="s">
        <v>125</v>
      </c>
      <c r="Y62" s="200">
        <v>43130</v>
      </c>
      <c r="Z62" s="193"/>
      <c r="AA62" s="193"/>
      <c r="AB62" s="22">
        <v>0</v>
      </c>
      <c r="AC62" s="170">
        <v>0</v>
      </c>
      <c r="AD62" s="209">
        <v>335</v>
      </c>
      <c r="AE62" s="194">
        <v>67730.3</v>
      </c>
      <c r="AF62" s="209"/>
      <c r="AG62" s="194"/>
      <c r="AH62" s="209"/>
      <c r="AI62" s="194"/>
      <c r="AJ62" s="233">
        <f t="shared" si="6"/>
        <v>335</v>
      </c>
      <c r="AK62" s="170">
        <f t="shared" si="6"/>
        <v>67730.3</v>
      </c>
      <c r="AL62" s="272">
        <v>0</v>
      </c>
      <c r="AM62" s="212">
        <v>0</v>
      </c>
      <c r="AN62" s="269">
        <v>335</v>
      </c>
      <c r="AO62" s="217">
        <f t="shared" si="2"/>
        <v>67730.3</v>
      </c>
      <c r="AP62" s="232"/>
      <c r="AQ62" s="229"/>
      <c r="AR62" s="212">
        <v>202.18</v>
      </c>
      <c r="AS62" s="212">
        <f t="shared" si="3"/>
        <v>0</v>
      </c>
      <c r="AT62" s="227">
        <v>335</v>
      </c>
      <c r="AU62" s="228">
        <f t="shared" si="4"/>
        <v>67730.3</v>
      </c>
      <c r="AV62" s="279">
        <f t="shared" si="5"/>
        <v>335</v>
      </c>
    </row>
    <row r="63" spans="1:48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124</v>
      </c>
      <c r="V63" s="115">
        <v>135</v>
      </c>
      <c r="W63" s="114">
        <v>42761</v>
      </c>
      <c r="X63" s="193" t="s">
        <v>126</v>
      </c>
      <c r="Y63" s="200">
        <v>43130</v>
      </c>
      <c r="Z63" s="193"/>
      <c r="AA63" s="193"/>
      <c r="AB63" s="22">
        <v>0</v>
      </c>
      <c r="AC63" s="170">
        <v>0</v>
      </c>
      <c r="AD63" s="209">
        <v>155</v>
      </c>
      <c r="AE63" s="194">
        <v>31337.9</v>
      </c>
      <c r="AF63" s="209"/>
      <c r="AG63" s="194"/>
      <c r="AH63" s="209"/>
      <c r="AI63" s="194"/>
      <c r="AJ63" s="233">
        <f t="shared" si="6"/>
        <v>155</v>
      </c>
      <c r="AK63" s="170">
        <f t="shared" si="6"/>
        <v>31337.9</v>
      </c>
      <c r="AL63" s="272">
        <v>0</v>
      </c>
      <c r="AM63" s="212">
        <v>0</v>
      </c>
      <c r="AN63" s="269">
        <v>155</v>
      </c>
      <c r="AO63" s="217">
        <f t="shared" si="2"/>
        <v>31337.9</v>
      </c>
      <c r="AP63" s="232"/>
      <c r="AQ63" s="229"/>
      <c r="AR63" s="212">
        <v>202.18</v>
      </c>
      <c r="AS63" s="212">
        <f t="shared" si="3"/>
        <v>0</v>
      </c>
      <c r="AT63" s="227">
        <v>155</v>
      </c>
      <c r="AU63" s="228">
        <f t="shared" si="4"/>
        <v>31337.9</v>
      </c>
      <c r="AV63" s="279">
        <f t="shared" si="5"/>
        <v>155</v>
      </c>
    </row>
    <row r="64" spans="1:48" s="62" customFormat="1" ht="26.25" customHeight="1">
      <c r="A64" s="59"/>
      <c r="B64" s="60"/>
      <c r="C64" s="60"/>
      <c r="D64" s="22"/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132</v>
      </c>
      <c r="V64" s="115">
        <v>108</v>
      </c>
      <c r="W64" s="114">
        <v>43119</v>
      </c>
      <c r="X64" s="193" t="s">
        <v>131</v>
      </c>
      <c r="Y64" s="200">
        <v>43130</v>
      </c>
      <c r="Z64" s="193"/>
      <c r="AA64" s="193"/>
      <c r="AB64" s="22">
        <v>0</v>
      </c>
      <c r="AC64" s="170">
        <v>0</v>
      </c>
      <c r="AD64" s="209">
        <v>340</v>
      </c>
      <c r="AE64" s="194">
        <v>68741.2</v>
      </c>
      <c r="AF64" s="209"/>
      <c r="AG64" s="194"/>
      <c r="AH64" s="209"/>
      <c r="AI64" s="194"/>
      <c r="AJ64" s="233">
        <f t="shared" si="6"/>
        <v>340</v>
      </c>
      <c r="AK64" s="170">
        <f t="shared" si="6"/>
        <v>68741.2</v>
      </c>
      <c r="AL64" s="272">
        <v>0</v>
      </c>
      <c r="AM64" s="212">
        <v>0</v>
      </c>
      <c r="AN64" s="269">
        <v>340</v>
      </c>
      <c r="AO64" s="217">
        <f t="shared" si="2"/>
        <v>68741.2</v>
      </c>
      <c r="AP64" s="232"/>
      <c r="AQ64" s="229"/>
      <c r="AR64" s="212">
        <v>202.18</v>
      </c>
      <c r="AS64" s="212">
        <f t="shared" si="3"/>
        <v>0</v>
      </c>
      <c r="AT64" s="227">
        <v>340</v>
      </c>
      <c r="AU64" s="228">
        <f t="shared" si="4"/>
        <v>68741.2</v>
      </c>
      <c r="AV64" s="279">
        <f t="shared" si="5"/>
        <v>340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659</v>
      </c>
      <c r="W65" s="114">
        <v>43201</v>
      </c>
      <c r="X65" s="193" t="s">
        <v>159</v>
      </c>
      <c r="Y65" s="200">
        <v>43213</v>
      </c>
      <c r="Z65" s="193" t="s">
        <v>160</v>
      </c>
      <c r="AA65" s="200">
        <v>43255</v>
      </c>
      <c r="AB65" s="22">
        <v>0</v>
      </c>
      <c r="AC65" s="170">
        <v>0</v>
      </c>
      <c r="AD65" s="209">
        <v>245</v>
      </c>
      <c r="AE65" s="194">
        <v>49534.1</v>
      </c>
      <c r="AF65" s="209"/>
      <c r="AG65" s="194"/>
      <c r="AH65" s="209"/>
      <c r="AI65" s="194"/>
      <c r="AJ65" s="233">
        <f t="shared" si="6"/>
        <v>245</v>
      </c>
      <c r="AK65" s="170">
        <f t="shared" si="6"/>
        <v>49534.1</v>
      </c>
      <c r="AL65" s="272">
        <v>0</v>
      </c>
      <c r="AM65" s="212">
        <v>0</v>
      </c>
      <c r="AN65" s="269">
        <v>245</v>
      </c>
      <c r="AO65" s="217">
        <f t="shared" si="2"/>
        <v>49534.1</v>
      </c>
      <c r="AP65" s="232"/>
      <c r="AQ65" s="229"/>
      <c r="AR65" s="212">
        <v>202.18</v>
      </c>
      <c r="AS65" s="212">
        <f t="shared" si="3"/>
        <v>0</v>
      </c>
      <c r="AT65" s="227">
        <v>245</v>
      </c>
      <c r="AU65" s="228">
        <f t="shared" si="4"/>
        <v>49534.1</v>
      </c>
      <c r="AV65" s="279">
        <f t="shared" si="5"/>
        <v>245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834</v>
      </c>
      <c r="W66" s="114">
        <v>43222</v>
      </c>
      <c r="X66" s="193" t="s">
        <v>162</v>
      </c>
      <c r="Y66" s="200">
        <v>43242</v>
      </c>
      <c r="Z66" s="193"/>
      <c r="AA66" s="193"/>
      <c r="AB66" s="22">
        <v>0</v>
      </c>
      <c r="AC66" s="170">
        <v>0</v>
      </c>
      <c r="AD66" s="209">
        <v>555</v>
      </c>
      <c r="AE66" s="194">
        <v>112209.9</v>
      </c>
      <c r="AF66" s="209"/>
      <c r="AG66" s="194"/>
      <c r="AH66" s="209"/>
      <c r="AI66" s="194"/>
      <c r="AJ66" s="233">
        <f t="shared" si="6"/>
        <v>555</v>
      </c>
      <c r="AK66" s="170">
        <f t="shared" si="6"/>
        <v>112209.9</v>
      </c>
      <c r="AL66" s="272">
        <v>0</v>
      </c>
      <c r="AM66" s="212">
        <v>0</v>
      </c>
      <c r="AN66" s="269">
        <v>555</v>
      </c>
      <c r="AO66" s="217">
        <f t="shared" si="2"/>
        <v>112209.9</v>
      </c>
      <c r="AP66" s="232"/>
      <c r="AQ66" s="229"/>
      <c r="AR66" s="212">
        <v>202.18</v>
      </c>
      <c r="AS66" s="212">
        <f t="shared" si="3"/>
        <v>0</v>
      </c>
      <c r="AT66" s="227">
        <v>555</v>
      </c>
      <c r="AU66" s="228">
        <f t="shared" si="4"/>
        <v>112209.90000000001</v>
      </c>
      <c r="AV66" s="279">
        <f t="shared" si="5"/>
        <v>555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45</v>
      </c>
      <c r="AE67" s="194">
        <v>8820</v>
      </c>
      <c r="AF67" s="209"/>
      <c r="AG67" s="194"/>
      <c r="AH67" s="209"/>
      <c r="AI67" s="194"/>
      <c r="AJ67" s="233">
        <f t="shared" si="6"/>
        <v>45</v>
      </c>
      <c r="AK67" s="170">
        <f t="shared" si="6"/>
        <v>8820</v>
      </c>
      <c r="AL67" s="272">
        <v>0</v>
      </c>
      <c r="AM67" s="212">
        <v>0</v>
      </c>
      <c r="AN67" s="269">
        <v>45</v>
      </c>
      <c r="AO67" s="217">
        <f t="shared" si="2"/>
        <v>8820</v>
      </c>
      <c r="AP67" s="232"/>
      <c r="AQ67" s="229"/>
      <c r="AR67" s="212">
        <v>196</v>
      </c>
      <c r="AS67" s="212">
        <f t="shared" si="3"/>
        <v>0</v>
      </c>
      <c r="AT67" s="227">
        <v>45</v>
      </c>
      <c r="AU67" s="228">
        <f t="shared" si="4"/>
        <v>8820</v>
      </c>
      <c r="AV67" s="279">
        <f t="shared" si="5"/>
        <v>45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1006</v>
      </c>
      <c r="W68" s="114">
        <v>43244</v>
      </c>
      <c r="X68" s="193" t="s">
        <v>179</v>
      </c>
      <c r="Y68" s="200">
        <v>43285</v>
      </c>
      <c r="Z68" s="193"/>
      <c r="AA68" s="193"/>
      <c r="AB68" s="22">
        <v>0</v>
      </c>
      <c r="AC68" s="170">
        <v>0</v>
      </c>
      <c r="AD68" s="209">
        <v>55</v>
      </c>
      <c r="AE68" s="194">
        <v>11119.9</v>
      </c>
      <c r="AF68" s="209"/>
      <c r="AG68" s="194"/>
      <c r="AH68" s="209"/>
      <c r="AI68" s="194"/>
      <c r="AJ68" s="233">
        <f t="shared" si="6"/>
        <v>55</v>
      </c>
      <c r="AK68" s="170">
        <f t="shared" si="6"/>
        <v>11119.9</v>
      </c>
      <c r="AL68" s="272">
        <v>0</v>
      </c>
      <c r="AM68" s="212">
        <v>0</v>
      </c>
      <c r="AN68" s="269">
        <v>55</v>
      </c>
      <c r="AO68" s="217">
        <f t="shared" si="2"/>
        <v>11119.9</v>
      </c>
      <c r="AP68" s="232"/>
      <c r="AQ68" s="229"/>
      <c r="AR68" s="212">
        <v>202.18</v>
      </c>
      <c r="AS68" s="212">
        <f t="shared" si="3"/>
        <v>0</v>
      </c>
      <c r="AT68" s="227">
        <v>55</v>
      </c>
      <c r="AU68" s="228">
        <f t="shared" si="4"/>
        <v>11119.9</v>
      </c>
      <c r="AV68" s="279">
        <f t="shared" si="5"/>
        <v>55</v>
      </c>
    </row>
    <row r="69" spans="1:48" s="62" customFormat="1" ht="26.25" customHeight="1">
      <c r="A69" s="59"/>
      <c r="B69" s="60"/>
      <c r="C69" s="60"/>
      <c r="D69" s="22"/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175</v>
      </c>
      <c r="V69" s="115">
        <v>877</v>
      </c>
      <c r="W69" s="114">
        <v>43230</v>
      </c>
      <c r="X69" s="193" t="s">
        <v>174</v>
      </c>
      <c r="Y69" s="200">
        <v>43285</v>
      </c>
      <c r="Z69" s="193"/>
      <c r="AA69" s="193"/>
      <c r="AB69" s="22">
        <v>0</v>
      </c>
      <c r="AC69" s="170">
        <v>0</v>
      </c>
      <c r="AD69" s="209">
        <v>210</v>
      </c>
      <c r="AE69" s="194">
        <v>42457.8</v>
      </c>
      <c r="AF69" s="209"/>
      <c r="AG69" s="194"/>
      <c r="AH69" s="209"/>
      <c r="AI69" s="194"/>
      <c r="AJ69" s="233">
        <f t="shared" si="6"/>
        <v>210</v>
      </c>
      <c r="AK69" s="170">
        <f t="shared" si="6"/>
        <v>42457.8</v>
      </c>
      <c r="AL69" s="272">
        <v>0</v>
      </c>
      <c r="AM69" s="212">
        <v>0</v>
      </c>
      <c r="AN69" s="269">
        <v>210</v>
      </c>
      <c r="AO69" s="217">
        <f t="shared" si="2"/>
        <v>42457.8</v>
      </c>
      <c r="AP69" s="232"/>
      <c r="AQ69" s="229"/>
      <c r="AR69" s="212">
        <v>202.18</v>
      </c>
      <c r="AS69" s="212">
        <f t="shared" si="3"/>
        <v>0</v>
      </c>
      <c r="AT69" s="227">
        <v>210</v>
      </c>
      <c r="AU69" s="228">
        <f t="shared" si="4"/>
        <v>42457.8</v>
      </c>
      <c r="AV69" s="279">
        <f t="shared" si="5"/>
        <v>210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161</v>
      </c>
      <c r="V70" s="115">
        <v>1053</v>
      </c>
      <c r="W70" s="114">
        <v>43255</v>
      </c>
      <c r="X70" s="193" t="s">
        <v>177</v>
      </c>
      <c r="Y70" s="200">
        <v>43285</v>
      </c>
      <c r="Z70" s="193" t="s">
        <v>178</v>
      </c>
      <c r="AA70" s="200">
        <v>43269</v>
      </c>
      <c r="AB70" s="22">
        <v>0</v>
      </c>
      <c r="AC70" s="170">
        <v>0</v>
      </c>
      <c r="AD70" s="209">
        <v>105</v>
      </c>
      <c r="AE70" s="194">
        <v>21228.9</v>
      </c>
      <c r="AF70" s="209"/>
      <c r="AG70" s="194"/>
      <c r="AH70" s="209"/>
      <c r="AI70" s="194"/>
      <c r="AJ70" s="233">
        <f t="shared" si="6"/>
        <v>105</v>
      </c>
      <c r="AK70" s="170">
        <f t="shared" si="6"/>
        <v>21228.9</v>
      </c>
      <c r="AL70" s="272">
        <v>0</v>
      </c>
      <c r="AM70" s="212">
        <v>0</v>
      </c>
      <c r="AN70" s="269">
        <v>105</v>
      </c>
      <c r="AO70" s="217">
        <f t="shared" si="2"/>
        <v>21228.9</v>
      </c>
      <c r="AP70" s="232"/>
      <c r="AQ70" s="229"/>
      <c r="AR70" s="212">
        <v>202.18</v>
      </c>
      <c r="AS70" s="212">
        <f t="shared" si="3"/>
        <v>0</v>
      </c>
      <c r="AT70" s="227">
        <v>105</v>
      </c>
      <c r="AU70" s="228">
        <f t="shared" si="4"/>
        <v>21228.9</v>
      </c>
      <c r="AV70" s="279">
        <f t="shared" si="5"/>
        <v>105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187</v>
      </c>
      <c r="V71" s="115">
        <v>1418</v>
      </c>
      <c r="W71" s="114">
        <v>43312</v>
      </c>
      <c r="X71" s="193" t="s">
        <v>184</v>
      </c>
      <c r="Y71" s="200">
        <v>43332</v>
      </c>
      <c r="Z71" s="193" t="s">
        <v>185</v>
      </c>
      <c r="AA71" s="200">
        <v>43320</v>
      </c>
      <c r="AB71" s="22">
        <v>0</v>
      </c>
      <c r="AC71" s="170">
        <v>0</v>
      </c>
      <c r="AD71" s="209">
        <v>30</v>
      </c>
      <c r="AE71" s="194">
        <v>5880</v>
      </c>
      <c r="AF71" s="209"/>
      <c r="AG71" s="194"/>
      <c r="AH71" s="209"/>
      <c r="AI71" s="194"/>
      <c r="AJ71" s="233">
        <f t="shared" si="6"/>
        <v>30</v>
      </c>
      <c r="AK71" s="170">
        <f t="shared" si="6"/>
        <v>5880</v>
      </c>
      <c r="AL71" s="272">
        <v>0</v>
      </c>
      <c r="AM71" s="212">
        <v>0</v>
      </c>
      <c r="AN71" s="269">
        <v>30</v>
      </c>
      <c r="AO71" s="217">
        <v>0</v>
      </c>
      <c r="AP71" s="232"/>
      <c r="AQ71" s="229"/>
      <c r="AR71" s="212">
        <v>196</v>
      </c>
      <c r="AS71" s="212">
        <f t="shared" si="3"/>
        <v>0</v>
      </c>
      <c r="AT71" s="227">
        <v>30</v>
      </c>
      <c r="AU71" s="228">
        <f t="shared" si="4"/>
        <v>5880</v>
      </c>
      <c r="AV71" s="279">
        <f t="shared" si="5"/>
        <v>30</v>
      </c>
    </row>
    <row r="72" spans="1:48" s="62" customFormat="1" ht="26.25" customHeight="1">
      <c r="A72" s="59"/>
      <c r="B72" s="60"/>
      <c r="C72" s="60"/>
      <c r="D72" s="22"/>
      <c r="E72" s="79"/>
      <c r="F72" s="53" t="s">
        <v>65</v>
      </c>
      <c r="G72" s="222" t="s">
        <v>111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/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3">
        <v>30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30</v>
      </c>
      <c r="AU72" s="228"/>
      <c r="AV72" s="279">
        <f t="shared" si="5"/>
        <v>30</v>
      </c>
    </row>
    <row r="73" spans="1:48" s="62" customFormat="1" ht="26.25" customHeight="1">
      <c r="A73" s="59"/>
      <c r="B73" s="60"/>
      <c r="C73" s="60"/>
      <c r="D73" s="22"/>
      <c r="E73" s="79" t="s">
        <v>24</v>
      </c>
      <c r="F73" s="51" t="s">
        <v>249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>
        <v>250</v>
      </c>
      <c r="P73" s="276">
        <v>66042.58</v>
      </c>
      <c r="Q73" s="115"/>
      <c r="R73" s="276"/>
      <c r="S73" s="115"/>
      <c r="T73" s="276"/>
      <c r="U73" s="278" t="s">
        <v>181</v>
      </c>
      <c r="V73" s="115">
        <v>1405</v>
      </c>
      <c r="W73" s="114">
        <v>43052</v>
      </c>
      <c r="X73" s="115" t="s">
        <v>182</v>
      </c>
      <c r="Y73" s="221">
        <v>43201</v>
      </c>
      <c r="Z73" s="115"/>
      <c r="AA73" s="115"/>
      <c r="AB73" s="22">
        <v>0</v>
      </c>
      <c r="AC73" s="170">
        <v>0</v>
      </c>
      <c r="AD73" s="208">
        <v>125</v>
      </c>
      <c r="AE73" s="170">
        <v>26255</v>
      </c>
      <c r="AF73" s="208"/>
      <c r="AG73" s="170"/>
      <c r="AH73" s="208"/>
      <c r="AI73" s="170"/>
      <c r="AJ73" s="233">
        <f t="shared" si="6"/>
        <v>125</v>
      </c>
      <c r="AK73" s="170">
        <f t="shared" si="6"/>
        <v>26255</v>
      </c>
      <c r="AL73" s="270">
        <f>63+62</f>
        <v>125</v>
      </c>
      <c r="AM73" s="170">
        <v>26255</v>
      </c>
      <c r="AN73" s="270">
        <v>0</v>
      </c>
      <c r="AO73" s="170">
        <f t="shared" si="2"/>
        <v>0</v>
      </c>
      <c r="AP73" s="233"/>
      <c r="AQ73" s="233"/>
      <c r="AR73" s="170">
        <v>210.04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145</v>
      </c>
      <c r="V74" s="115">
        <v>1381</v>
      </c>
      <c r="W74" s="114">
        <v>43047</v>
      </c>
      <c r="X74" s="115" t="s">
        <v>144</v>
      </c>
      <c r="Y74" s="221">
        <v>43201</v>
      </c>
      <c r="Z74" s="115"/>
      <c r="AA74" s="115"/>
      <c r="AB74" s="22">
        <v>0</v>
      </c>
      <c r="AC74" s="170">
        <v>0</v>
      </c>
      <c r="AD74" s="208">
        <v>80</v>
      </c>
      <c r="AE74" s="170">
        <v>16803.2</v>
      </c>
      <c r="AF74" s="208"/>
      <c r="AG74" s="170"/>
      <c r="AH74" s="208"/>
      <c r="AI74" s="170"/>
      <c r="AJ74" s="233">
        <f t="shared" si="6"/>
        <v>80</v>
      </c>
      <c r="AK74" s="170">
        <f t="shared" si="6"/>
        <v>16803.2</v>
      </c>
      <c r="AL74" s="270">
        <v>80</v>
      </c>
      <c r="AM74" s="170">
        <v>16803.2</v>
      </c>
      <c r="AN74" s="270">
        <v>0</v>
      </c>
      <c r="AO74" s="170">
        <f t="shared" si="2"/>
        <v>0</v>
      </c>
      <c r="AP74" s="233"/>
      <c r="AQ74" s="233"/>
      <c r="AR74" s="170">
        <f>AM74/AL74</f>
        <v>210.04000000000002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148</v>
      </c>
      <c r="V75" s="115">
        <v>546</v>
      </c>
      <c r="W75" s="114">
        <v>43182</v>
      </c>
      <c r="X75" s="115" t="s">
        <v>149</v>
      </c>
      <c r="Y75" s="221">
        <v>43201</v>
      </c>
      <c r="Z75" s="115" t="s">
        <v>147</v>
      </c>
      <c r="AA75" s="221">
        <v>43252</v>
      </c>
      <c r="AB75" s="22">
        <v>0</v>
      </c>
      <c r="AC75" s="170">
        <v>0</v>
      </c>
      <c r="AD75" s="208">
        <v>10</v>
      </c>
      <c r="AE75" s="170">
        <v>2038.7</v>
      </c>
      <c r="AF75" s="208"/>
      <c r="AG75" s="170"/>
      <c r="AH75" s="208"/>
      <c r="AI75" s="170"/>
      <c r="AJ75" s="233">
        <f t="shared" si="6"/>
        <v>10</v>
      </c>
      <c r="AK75" s="170">
        <f t="shared" si="6"/>
        <v>2038.7</v>
      </c>
      <c r="AL75" s="270">
        <v>10</v>
      </c>
      <c r="AM75" s="170">
        <v>2038.7</v>
      </c>
      <c r="AN75" s="270">
        <v>0</v>
      </c>
      <c r="AO75" s="170">
        <f t="shared" si="2"/>
        <v>0</v>
      </c>
      <c r="AP75" s="233"/>
      <c r="AQ75" s="233"/>
      <c r="AR75" s="170">
        <f>AM75/AL75</f>
        <v>203.87</v>
      </c>
      <c r="AS75" s="170">
        <f t="shared" si="3"/>
        <v>0</v>
      </c>
      <c r="AT75" s="208">
        <v>0</v>
      </c>
      <c r="AU75" s="170">
        <f t="shared" si="4"/>
        <v>0</v>
      </c>
      <c r="AV75" s="233">
        <f t="shared" si="5"/>
        <v>0</v>
      </c>
    </row>
    <row r="76" spans="1:48" s="62" customFormat="1" ht="26.25" customHeight="1">
      <c r="A76" s="59"/>
      <c r="B76" s="60"/>
      <c r="C76" s="60"/>
      <c r="D76" s="22"/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834</v>
      </c>
      <c r="W76" s="114">
        <v>43222</v>
      </c>
      <c r="X76" s="193" t="s">
        <v>162</v>
      </c>
      <c r="Y76" s="200">
        <v>43242</v>
      </c>
      <c r="Z76" s="193"/>
      <c r="AA76" s="193"/>
      <c r="AB76" s="22">
        <v>0</v>
      </c>
      <c r="AC76" s="170">
        <v>0</v>
      </c>
      <c r="AD76" s="209">
        <v>10</v>
      </c>
      <c r="AE76" s="194">
        <v>2100.4</v>
      </c>
      <c r="AF76" s="209"/>
      <c r="AG76" s="194"/>
      <c r="AH76" s="209"/>
      <c r="AI76" s="194"/>
      <c r="AJ76" s="233">
        <f t="shared" si="6"/>
        <v>10</v>
      </c>
      <c r="AK76" s="170">
        <f t="shared" si="6"/>
        <v>2100.4</v>
      </c>
      <c r="AL76" s="272">
        <v>0</v>
      </c>
      <c r="AM76" s="212">
        <v>0</v>
      </c>
      <c r="AN76" s="269">
        <v>10</v>
      </c>
      <c r="AO76" s="217">
        <f t="shared" si="2"/>
        <v>2100.4</v>
      </c>
      <c r="AP76" s="232"/>
      <c r="AQ76" s="229"/>
      <c r="AR76" s="212">
        <v>210.04</v>
      </c>
      <c r="AS76" s="212">
        <f t="shared" si="3"/>
        <v>0</v>
      </c>
      <c r="AT76" s="227">
        <v>10</v>
      </c>
      <c r="AU76" s="228">
        <f t="shared" si="4"/>
        <v>2100.4</v>
      </c>
      <c r="AV76" s="279">
        <f t="shared" si="5"/>
        <v>10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62" t="s">
        <v>68</v>
      </c>
      <c r="G77" s="222" t="s">
        <v>146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148</v>
      </c>
      <c r="V77" s="115">
        <v>1006</v>
      </c>
      <c r="W77" s="114">
        <v>43244</v>
      </c>
      <c r="X77" s="193" t="s">
        <v>179</v>
      </c>
      <c r="Y77" s="200">
        <v>43285</v>
      </c>
      <c r="Z77" s="193"/>
      <c r="AA77" s="193"/>
      <c r="AB77" s="22">
        <v>0</v>
      </c>
      <c r="AC77" s="170">
        <v>0</v>
      </c>
      <c r="AD77" s="209">
        <v>5</v>
      </c>
      <c r="AE77" s="194">
        <v>1019.35</v>
      </c>
      <c r="AF77" s="209"/>
      <c r="AG77" s="194"/>
      <c r="AH77" s="209"/>
      <c r="AI77" s="194"/>
      <c r="AJ77" s="233">
        <f t="shared" si="6"/>
        <v>5</v>
      </c>
      <c r="AK77" s="170">
        <f t="shared" si="6"/>
        <v>1019.35</v>
      </c>
      <c r="AL77" s="272">
        <v>0</v>
      </c>
      <c r="AM77" s="212">
        <v>0</v>
      </c>
      <c r="AN77" s="269">
        <v>5</v>
      </c>
      <c r="AO77" s="217">
        <f t="shared" si="2"/>
        <v>1019.35</v>
      </c>
      <c r="AP77" s="232"/>
      <c r="AQ77" s="229"/>
      <c r="AR77" s="212">
        <v>203.87</v>
      </c>
      <c r="AS77" s="212">
        <f t="shared" si="3"/>
        <v>0</v>
      </c>
      <c r="AT77" s="227">
        <v>5</v>
      </c>
      <c r="AU77" s="228">
        <f t="shared" si="4"/>
        <v>1019.35</v>
      </c>
      <c r="AV77" s="279">
        <f t="shared" si="5"/>
        <v>5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51" t="s">
        <v>247</v>
      </c>
      <c r="G78" s="275" t="s">
        <v>114</v>
      </c>
      <c r="H78" s="115" t="s">
        <v>91</v>
      </c>
      <c r="I78" s="115" t="s">
        <v>91</v>
      </c>
      <c r="J78" s="115">
        <v>360</v>
      </c>
      <c r="K78" s="115">
        <v>1</v>
      </c>
      <c r="L78" s="276">
        <v>303.16000000000003</v>
      </c>
      <c r="M78" s="277">
        <f t="shared" si="0"/>
        <v>360</v>
      </c>
      <c r="N78" s="276">
        <f t="shared" si="1"/>
        <v>109137.60000000001</v>
      </c>
      <c r="O78" s="115">
        <v>180</v>
      </c>
      <c r="P78" s="276">
        <v>49667.4</v>
      </c>
      <c r="Q78" s="115">
        <v>360</v>
      </c>
      <c r="R78" s="276">
        <v>107470.8</v>
      </c>
      <c r="S78" s="115">
        <v>90</v>
      </c>
      <c r="T78" s="276">
        <v>27284.400000000001</v>
      </c>
      <c r="U78" s="278" t="s">
        <v>115</v>
      </c>
      <c r="V78" s="115">
        <v>1583</v>
      </c>
      <c r="W78" s="114">
        <v>43082</v>
      </c>
      <c r="X78" s="115" t="s">
        <v>113</v>
      </c>
      <c r="Y78" s="221">
        <v>43109</v>
      </c>
      <c r="Z78" s="115" t="s">
        <v>110</v>
      </c>
      <c r="AA78" s="221">
        <v>43111</v>
      </c>
      <c r="AB78" s="22">
        <v>0</v>
      </c>
      <c r="AC78" s="170">
        <v>0</v>
      </c>
      <c r="AD78" s="208">
        <v>8</v>
      </c>
      <c r="AE78" s="170">
        <v>2388</v>
      </c>
      <c r="AF78" s="208"/>
      <c r="AG78" s="170"/>
      <c r="AH78" s="208"/>
      <c r="AI78" s="170"/>
      <c r="AJ78" s="233">
        <f t="shared" si="6"/>
        <v>8</v>
      </c>
      <c r="AK78" s="170">
        <f t="shared" si="6"/>
        <v>2388</v>
      </c>
      <c r="AL78" s="270">
        <v>0</v>
      </c>
      <c r="AM78" s="170">
        <v>0</v>
      </c>
      <c r="AN78" s="270">
        <v>8</v>
      </c>
      <c r="AO78" s="170">
        <f t="shared" si="2"/>
        <v>2388</v>
      </c>
      <c r="AP78" s="233"/>
      <c r="AQ78" s="233"/>
      <c r="AR78" s="170">
        <v>298.5</v>
      </c>
      <c r="AS78" s="170">
        <f t="shared" si="3"/>
        <v>0</v>
      </c>
      <c r="AT78" s="233">
        <f>8-8</f>
        <v>0</v>
      </c>
      <c r="AU78" s="386">
        <f t="shared" si="4"/>
        <v>0</v>
      </c>
      <c r="AV78" s="233">
        <f t="shared" si="5"/>
        <v>0</v>
      </c>
    </row>
    <row r="79" spans="1:48" s="62" customFormat="1" ht="25.5" customHeight="1">
      <c r="A79" s="59"/>
      <c r="B79" s="60"/>
      <c r="C79" s="60"/>
      <c r="D79" s="22"/>
      <c r="E79" s="79" t="s">
        <v>24</v>
      </c>
      <c r="F79" s="51" t="s">
        <v>247</v>
      </c>
      <c r="G79" s="275" t="s">
        <v>114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/>
      <c r="P79" s="276"/>
      <c r="Q79" s="115"/>
      <c r="R79" s="276"/>
      <c r="S79" s="115"/>
      <c r="T79" s="276"/>
      <c r="U79" s="278" t="s">
        <v>137</v>
      </c>
      <c r="V79" s="115">
        <v>427</v>
      </c>
      <c r="W79" s="114">
        <v>43164</v>
      </c>
      <c r="X79" s="115" t="s">
        <v>138</v>
      </c>
      <c r="Y79" s="221">
        <v>43164</v>
      </c>
      <c r="Z79" s="115"/>
      <c r="AA79" s="115"/>
      <c r="AB79" s="22">
        <v>0</v>
      </c>
      <c r="AC79" s="170">
        <v>0</v>
      </c>
      <c r="AD79" s="208">
        <v>34</v>
      </c>
      <c r="AE79" s="170">
        <v>10149</v>
      </c>
      <c r="AF79" s="208"/>
      <c r="AG79" s="170"/>
      <c r="AH79" s="208"/>
      <c r="AI79" s="170"/>
      <c r="AJ79" s="233">
        <f t="shared" si="6"/>
        <v>34</v>
      </c>
      <c r="AK79" s="170">
        <f t="shared" si="6"/>
        <v>10149</v>
      </c>
      <c r="AL79" s="270">
        <v>0</v>
      </c>
      <c r="AM79" s="170">
        <v>0</v>
      </c>
      <c r="AN79" s="270">
        <v>34</v>
      </c>
      <c r="AO79" s="170">
        <f t="shared" si="2"/>
        <v>10149</v>
      </c>
      <c r="AP79" s="233"/>
      <c r="AQ79" s="233"/>
      <c r="AR79" s="170">
        <v>298.5</v>
      </c>
      <c r="AS79" s="170">
        <f t="shared" si="3"/>
        <v>0</v>
      </c>
      <c r="AT79" s="233">
        <f>34-34</f>
        <v>0</v>
      </c>
      <c r="AU79" s="386">
        <f t="shared" si="4"/>
        <v>0</v>
      </c>
      <c r="AV79" s="233">
        <f t="shared" si="5"/>
        <v>0</v>
      </c>
    </row>
    <row r="80" spans="1:48" s="62" customFormat="1" ht="25.5" customHeight="1">
      <c r="A80" s="59"/>
      <c r="B80" s="60"/>
      <c r="C80" s="60"/>
      <c r="D80" s="22"/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153</v>
      </c>
      <c r="V80" s="115">
        <v>613</v>
      </c>
      <c r="W80" s="114">
        <v>43193</v>
      </c>
      <c r="X80" s="193">
        <v>97</v>
      </c>
      <c r="Y80" s="200">
        <v>43202</v>
      </c>
      <c r="Z80" s="193" t="s">
        <v>154</v>
      </c>
      <c r="AA80" s="200">
        <v>43214</v>
      </c>
      <c r="AB80" s="22">
        <v>0</v>
      </c>
      <c r="AC80" s="170">
        <v>0</v>
      </c>
      <c r="AD80" s="209">
        <v>270</v>
      </c>
      <c r="AE80" s="194">
        <v>80595</v>
      </c>
      <c r="AF80" s="209"/>
      <c r="AG80" s="194"/>
      <c r="AH80" s="209"/>
      <c r="AI80" s="194"/>
      <c r="AJ80" s="233">
        <f t="shared" si="6"/>
        <v>270</v>
      </c>
      <c r="AK80" s="170">
        <f t="shared" si="6"/>
        <v>80595</v>
      </c>
      <c r="AL80" s="272">
        <v>0</v>
      </c>
      <c r="AM80" s="212">
        <v>0</v>
      </c>
      <c r="AN80" s="269">
        <v>270</v>
      </c>
      <c r="AO80" s="217">
        <f t="shared" si="2"/>
        <v>80595</v>
      </c>
      <c r="AP80" s="232"/>
      <c r="AQ80" s="229"/>
      <c r="AR80" s="212">
        <v>298.5</v>
      </c>
      <c r="AS80" s="212">
        <f t="shared" si="3"/>
        <v>0</v>
      </c>
      <c r="AT80" s="261">
        <f>270-16-60</f>
        <v>194</v>
      </c>
      <c r="AU80" s="228">
        <f t="shared" si="4"/>
        <v>57909</v>
      </c>
      <c r="AV80" s="279">
        <f t="shared" si="5"/>
        <v>194</v>
      </c>
    </row>
    <row r="81" spans="1:48" s="62" customFormat="1" ht="25.5" customHeight="1">
      <c r="A81" s="59"/>
      <c r="B81" s="60"/>
      <c r="C81" s="60"/>
      <c r="D81" s="22"/>
      <c r="E81" s="79" t="s">
        <v>24</v>
      </c>
      <c r="F81" s="140" t="s">
        <v>55</v>
      </c>
      <c r="G81" s="222" t="s">
        <v>114</v>
      </c>
      <c r="H81" s="193" t="s">
        <v>91</v>
      </c>
      <c r="I81" s="193" t="s">
        <v>91</v>
      </c>
      <c r="J81" s="193"/>
      <c r="K81" s="193"/>
      <c r="L81" s="243"/>
      <c r="M81" s="242">
        <f t="shared" si="0"/>
        <v>0</v>
      </c>
      <c r="N81" s="243">
        <f t="shared" si="1"/>
        <v>0</v>
      </c>
      <c r="O81" s="193"/>
      <c r="P81" s="243"/>
      <c r="Q81" s="193"/>
      <c r="R81" s="243"/>
      <c r="S81" s="193"/>
      <c r="T81" s="243"/>
      <c r="U81" s="203" t="s">
        <v>115</v>
      </c>
      <c r="V81" s="115">
        <v>612</v>
      </c>
      <c r="W81" s="114">
        <v>43193</v>
      </c>
      <c r="X81" s="193">
        <v>97</v>
      </c>
      <c r="Y81" s="200">
        <v>43202</v>
      </c>
      <c r="Z81" s="193" t="s">
        <v>155</v>
      </c>
      <c r="AA81" s="200">
        <v>43214</v>
      </c>
      <c r="AB81" s="22">
        <v>0</v>
      </c>
      <c r="AC81" s="170">
        <v>0</v>
      </c>
      <c r="AD81" s="209">
        <v>40</v>
      </c>
      <c r="AE81" s="194">
        <v>11940</v>
      </c>
      <c r="AF81" s="209"/>
      <c r="AG81" s="194"/>
      <c r="AH81" s="209"/>
      <c r="AI81" s="194"/>
      <c r="AJ81" s="233">
        <f t="shared" si="6"/>
        <v>40</v>
      </c>
      <c r="AK81" s="170">
        <f t="shared" si="6"/>
        <v>11940</v>
      </c>
      <c r="AL81" s="272">
        <v>0</v>
      </c>
      <c r="AM81" s="212">
        <v>0</v>
      </c>
      <c r="AN81" s="269">
        <v>40</v>
      </c>
      <c r="AO81" s="217">
        <f t="shared" si="2"/>
        <v>11940</v>
      </c>
      <c r="AP81" s="232"/>
      <c r="AQ81" s="229"/>
      <c r="AR81" s="212">
        <v>298.5</v>
      </c>
      <c r="AS81" s="212">
        <f t="shared" si="3"/>
        <v>0</v>
      </c>
      <c r="AT81" s="227">
        <v>40</v>
      </c>
      <c r="AU81" s="228">
        <f t="shared" si="4"/>
        <v>11940</v>
      </c>
      <c r="AV81" s="279">
        <f t="shared" si="5"/>
        <v>40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244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3">
        <v>6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6</v>
      </c>
      <c r="AU82" s="228"/>
      <c r="AV82" s="279">
        <f t="shared" si="5"/>
        <v>6</v>
      </c>
    </row>
    <row r="83" spans="1:48" s="62" customFormat="1" ht="25.5" customHeight="1">
      <c r="A83" s="59"/>
      <c r="B83" s="60"/>
      <c r="C83" s="60"/>
      <c r="D83" s="22"/>
      <c r="E83" s="79" t="s">
        <v>24</v>
      </c>
      <c r="F83" s="51" t="s">
        <v>250</v>
      </c>
      <c r="G83" s="275" t="s">
        <v>140</v>
      </c>
      <c r="H83" s="115" t="s">
        <v>91</v>
      </c>
      <c r="I83" s="115" t="s">
        <v>91</v>
      </c>
      <c r="J83" s="115">
        <v>1080</v>
      </c>
      <c r="K83" s="115">
        <v>2</v>
      </c>
      <c r="L83" s="276">
        <v>304.58999999999997</v>
      </c>
      <c r="M83" s="277">
        <f t="shared" si="0"/>
        <v>2160</v>
      </c>
      <c r="N83" s="276">
        <f t="shared" si="1"/>
        <v>657914.39999999991</v>
      </c>
      <c r="O83" s="115">
        <v>180</v>
      </c>
      <c r="P83" s="276">
        <v>49908.6</v>
      </c>
      <c r="Q83" s="115">
        <v>1080</v>
      </c>
      <c r="R83" s="276">
        <v>323838</v>
      </c>
      <c r="S83" s="115">
        <v>602</v>
      </c>
      <c r="T83" s="276">
        <v>183363.18</v>
      </c>
      <c r="U83" s="278" t="s">
        <v>139</v>
      </c>
      <c r="V83" s="115">
        <v>427</v>
      </c>
      <c r="W83" s="114">
        <v>43164</v>
      </c>
      <c r="X83" s="115" t="s">
        <v>138</v>
      </c>
      <c r="Y83" s="221">
        <v>43164</v>
      </c>
      <c r="Z83" s="115"/>
      <c r="AA83" s="115"/>
      <c r="AB83" s="22">
        <v>0</v>
      </c>
      <c r="AC83" s="170">
        <v>0</v>
      </c>
      <c r="AD83" s="208">
        <v>56</v>
      </c>
      <c r="AE83" s="170">
        <v>16794.400000000001</v>
      </c>
      <c r="AF83" s="208"/>
      <c r="AG83" s="170"/>
      <c r="AH83" s="208"/>
      <c r="AI83" s="170"/>
      <c r="AJ83" s="233">
        <f t="shared" si="6"/>
        <v>56</v>
      </c>
      <c r="AK83" s="170">
        <f t="shared" si="6"/>
        <v>16794.400000000001</v>
      </c>
      <c r="AL83" s="270">
        <v>0</v>
      </c>
      <c r="AM83" s="170">
        <v>0</v>
      </c>
      <c r="AN83" s="270">
        <v>56</v>
      </c>
      <c r="AO83" s="170">
        <f t="shared" si="2"/>
        <v>16794.400000000001</v>
      </c>
      <c r="AP83" s="233"/>
      <c r="AQ83" s="233"/>
      <c r="AR83" s="170">
        <v>299.89999999999998</v>
      </c>
      <c r="AS83" s="170">
        <f t="shared" si="3"/>
        <v>0</v>
      </c>
      <c r="AT83" s="233">
        <f>18-18</f>
        <v>0</v>
      </c>
      <c r="AU83" s="386">
        <f t="shared" si="4"/>
        <v>0</v>
      </c>
      <c r="AV83" s="233">
        <f t="shared" si="5"/>
        <v>0</v>
      </c>
    </row>
    <row r="84" spans="1:48" s="62" customFormat="1" ht="25.5" customHeight="1">
      <c r="A84" s="59"/>
      <c r="B84" s="60"/>
      <c r="C84" s="60"/>
      <c r="D84" s="22"/>
      <c r="E84" s="79" t="s">
        <v>24</v>
      </c>
      <c r="F84" s="173" t="s">
        <v>64</v>
      </c>
      <c r="G84" s="222" t="s">
        <v>140</v>
      </c>
      <c r="H84" s="193" t="s">
        <v>91</v>
      </c>
      <c r="I84" s="193" t="s">
        <v>91</v>
      </c>
      <c r="J84" s="193"/>
      <c r="K84" s="193"/>
      <c r="L84" s="243"/>
      <c r="M84" s="242">
        <f t="shared" si="0"/>
        <v>0</v>
      </c>
      <c r="N84" s="243">
        <f t="shared" si="1"/>
        <v>0</v>
      </c>
      <c r="O84" s="193"/>
      <c r="P84" s="243"/>
      <c r="Q84" s="193"/>
      <c r="R84" s="243"/>
      <c r="S84" s="193"/>
      <c r="T84" s="243"/>
      <c r="U84" s="203" t="s">
        <v>157</v>
      </c>
      <c r="V84" s="115">
        <v>605</v>
      </c>
      <c r="W84" s="114">
        <v>43193</v>
      </c>
      <c r="X84" s="193">
        <v>97</v>
      </c>
      <c r="Y84" s="200">
        <v>43202</v>
      </c>
      <c r="Z84" s="193" t="s">
        <v>158</v>
      </c>
      <c r="AA84" s="200">
        <v>43216</v>
      </c>
      <c r="AB84" s="22">
        <v>0</v>
      </c>
      <c r="AC84" s="170">
        <v>0</v>
      </c>
      <c r="AD84" s="209">
        <v>510</v>
      </c>
      <c r="AE84" s="194">
        <v>152949</v>
      </c>
      <c r="AF84" s="209"/>
      <c r="AG84" s="194"/>
      <c r="AH84" s="209"/>
      <c r="AI84" s="194"/>
      <c r="AJ84" s="233">
        <f t="shared" si="6"/>
        <v>510</v>
      </c>
      <c r="AK84" s="170">
        <f t="shared" si="6"/>
        <v>152949</v>
      </c>
      <c r="AL84" s="272">
        <v>0</v>
      </c>
      <c r="AM84" s="212">
        <v>0</v>
      </c>
      <c r="AN84" s="269">
        <v>510</v>
      </c>
      <c r="AO84" s="217">
        <f t="shared" si="2"/>
        <v>152949</v>
      </c>
      <c r="AP84" s="232"/>
      <c r="AQ84" s="229"/>
      <c r="AR84" s="212">
        <v>299.89999999999998</v>
      </c>
      <c r="AS84" s="212">
        <f t="shared" si="3"/>
        <v>0</v>
      </c>
      <c r="AT84" s="261">
        <f>510-42-60-60</f>
        <v>348</v>
      </c>
      <c r="AU84" s="228">
        <f t="shared" si="4"/>
        <v>104365.2</v>
      </c>
      <c r="AV84" s="279">
        <f t="shared" si="5"/>
        <v>348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3">
        <v>368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368</v>
      </c>
      <c r="AU85" s="228"/>
      <c r="AV85" s="279">
        <f t="shared" si="5"/>
        <v>368</v>
      </c>
    </row>
    <row r="86" spans="1:48" s="62" customFormat="1" ht="31.5">
      <c r="A86" s="59"/>
      <c r="B86" s="60"/>
      <c r="C86" s="60"/>
      <c r="D86" s="22"/>
      <c r="E86" s="79" t="s">
        <v>24</v>
      </c>
      <c r="F86" s="150" t="s">
        <v>57</v>
      </c>
      <c r="G86" s="222" t="s">
        <v>121</v>
      </c>
      <c r="H86" s="193" t="s">
        <v>91</v>
      </c>
      <c r="I86" s="193" t="s">
        <v>91</v>
      </c>
      <c r="J86" s="193">
        <v>480</v>
      </c>
      <c r="K86" s="193">
        <v>3</v>
      </c>
      <c r="L86" s="243">
        <v>19.399999999999999</v>
      </c>
      <c r="M86" s="242">
        <f>J86*K86</f>
        <v>1440</v>
      </c>
      <c r="N86" s="243">
        <f t="shared" si="1"/>
        <v>27935.999999999996</v>
      </c>
      <c r="O86" s="193">
        <v>6637</v>
      </c>
      <c r="P86" s="243">
        <v>108249.47</v>
      </c>
      <c r="Q86" s="193">
        <v>4000</v>
      </c>
      <c r="R86" s="243">
        <v>89720</v>
      </c>
      <c r="S86" s="193"/>
      <c r="T86" s="243"/>
      <c r="U86" s="203" t="s">
        <v>120</v>
      </c>
      <c r="V86" s="115">
        <v>1745</v>
      </c>
      <c r="W86" s="114">
        <v>43096</v>
      </c>
      <c r="X86" s="193" t="s">
        <v>117</v>
      </c>
      <c r="Y86" s="200">
        <v>43109</v>
      </c>
      <c r="Z86" s="193" t="s">
        <v>118</v>
      </c>
      <c r="AA86" s="200">
        <v>43133</v>
      </c>
      <c r="AB86" s="22">
        <v>0</v>
      </c>
      <c r="AC86" s="170">
        <v>0</v>
      </c>
      <c r="AD86" s="209">
        <v>6637</v>
      </c>
      <c r="AE86" s="194">
        <v>102541.65</v>
      </c>
      <c r="AF86" s="209"/>
      <c r="AG86" s="194"/>
      <c r="AH86" s="209"/>
      <c r="AI86" s="194"/>
      <c r="AJ86" s="233">
        <f t="shared" si="6"/>
        <v>6637</v>
      </c>
      <c r="AK86" s="170">
        <f t="shared" si="6"/>
        <v>102541.65</v>
      </c>
      <c r="AL86" s="272">
        <f>180+290</f>
        <v>470</v>
      </c>
      <c r="AM86" s="212">
        <f>AL86*AR86</f>
        <v>7261.5</v>
      </c>
      <c r="AN86" s="269">
        <v>6167</v>
      </c>
      <c r="AO86" s="217">
        <f t="shared" si="2"/>
        <v>95280.15</v>
      </c>
      <c r="AP86" s="232"/>
      <c r="AQ86" s="229"/>
      <c r="AR86" s="212">
        <v>15.45</v>
      </c>
      <c r="AS86" s="212">
        <f t="shared" si="3"/>
        <v>0</v>
      </c>
      <c r="AT86" s="261">
        <f>5867-550-40-4737-460-30</f>
        <v>50</v>
      </c>
      <c r="AU86" s="228">
        <f t="shared" si="4"/>
        <v>772.5</v>
      </c>
      <c r="AV86" s="279">
        <f t="shared" si="5"/>
        <v>50</v>
      </c>
    </row>
    <row r="87" spans="1:48" s="62" customFormat="1" ht="31.5">
      <c r="A87" s="59"/>
      <c r="B87" s="60"/>
      <c r="C87" s="60"/>
      <c r="D87" s="22"/>
      <c r="E87" s="79" t="s">
        <v>24</v>
      </c>
      <c r="F87" s="150" t="s">
        <v>57</v>
      </c>
      <c r="G87" s="222" t="s">
        <v>121</v>
      </c>
      <c r="H87" s="193" t="s">
        <v>91</v>
      </c>
      <c r="I87" s="193" t="s">
        <v>91</v>
      </c>
      <c r="J87" s="193"/>
      <c r="K87" s="193"/>
      <c r="L87" s="243"/>
      <c r="M87" s="242">
        <f t="shared" ref="M87:M88" si="8">J87*K87</f>
        <v>0</v>
      </c>
      <c r="N87" s="243">
        <f t="shared" ref="N87:N90" si="9">L87*M87</f>
        <v>0</v>
      </c>
      <c r="O87" s="193"/>
      <c r="P87" s="243"/>
      <c r="Q87" s="193"/>
      <c r="R87" s="243"/>
      <c r="S87" s="193"/>
      <c r="T87" s="243"/>
      <c r="U87" s="203" t="s">
        <v>173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144</v>
      </c>
      <c r="AE87" s="194">
        <v>2142.7199999999998</v>
      </c>
      <c r="AF87" s="209"/>
      <c r="AG87" s="194"/>
      <c r="AH87" s="209"/>
      <c r="AI87" s="194"/>
      <c r="AJ87" s="233">
        <f t="shared" si="6"/>
        <v>144</v>
      </c>
      <c r="AK87" s="170">
        <f t="shared" si="6"/>
        <v>2142.7199999999998</v>
      </c>
      <c r="AL87" s="272">
        <v>0</v>
      </c>
      <c r="AM87" s="212">
        <v>0</v>
      </c>
      <c r="AN87" s="269">
        <v>144</v>
      </c>
      <c r="AO87" s="217">
        <f t="shared" ref="AO87" si="10">AC87+AK87-AM87</f>
        <v>2142.7199999999998</v>
      </c>
      <c r="AP87" s="232"/>
      <c r="AQ87" s="229"/>
      <c r="AR87" s="212">
        <v>14.88</v>
      </c>
      <c r="AS87" s="212">
        <f t="shared" si="3"/>
        <v>0</v>
      </c>
      <c r="AT87" s="227">
        <v>144</v>
      </c>
      <c r="AU87" s="228">
        <f t="shared" si="4"/>
        <v>2142.7200000000003</v>
      </c>
      <c r="AV87" s="279">
        <f t="shared" ref="AV87:AV97" si="11">AT87</f>
        <v>144</v>
      </c>
    </row>
    <row r="88" spans="1:48" s="62" customFormat="1" ht="31.5">
      <c r="A88" s="59"/>
      <c r="B88" s="60"/>
      <c r="C88" s="60"/>
      <c r="D88" s="22"/>
      <c r="E88" s="79" t="s">
        <v>24</v>
      </c>
      <c r="F88" s="150" t="s">
        <v>57</v>
      </c>
      <c r="G88" s="222" t="s">
        <v>121</v>
      </c>
      <c r="H88" s="193" t="s">
        <v>91</v>
      </c>
      <c r="I88" s="193" t="s">
        <v>91</v>
      </c>
      <c r="J88" s="193"/>
      <c r="K88" s="193"/>
      <c r="L88" s="243"/>
      <c r="M88" s="242">
        <f t="shared" si="8"/>
        <v>0</v>
      </c>
      <c r="N88" s="243">
        <f t="shared" si="9"/>
        <v>0</v>
      </c>
      <c r="O88" s="193"/>
      <c r="P88" s="243"/>
      <c r="Q88" s="193"/>
      <c r="R88" s="243"/>
      <c r="S88" s="193"/>
      <c r="T88" s="243"/>
      <c r="U88" s="203" t="s">
        <v>183</v>
      </c>
      <c r="V88" s="115">
        <v>1418</v>
      </c>
      <c r="W88" s="114">
        <v>43312</v>
      </c>
      <c r="X88" s="193" t="s">
        <v>184</v>
      </c>
      <c r="Y88" s="200">
        <v>43332</v>
      </c>
      <c r="Z88" s="193" t="s">
        <v>185</v>
      </c>
      <c r="AA88" s="200">
        <v>43320</v>
      </c>
      <c r="AB88" s="22">
        <v>0</v>
      </c>
      <c r="AC88" s="170">
        <v>0</v>
      </c>
      <c r="AD88" s="209">
        <v>76</v>
      </c>
      <c r="AE88" s="194">
        <v>1130.8800000000001</v>
      </c>
      <c r="AF88" s="209"/>
      <c r="AG88" s="194"/>
      <c r="AH88" s="209"/>
      <c r="AI88" s="194"/>
      <c r="AJ88" s="233">
        <f t="shared" si="6"/>
        <v>76</v>
      </c>
      <c r="AK88" s="170">
        <f t="shared" si="6"/>
        <v>1130.8800000000001</v>
      </c>
      <c r="AL88" s="272">
        <v>0</v>
      </c>
      <c r="AM88" s="212">
        <v>0</v>
      </c>
      <c r="AN88" s="269">
        <v>76</v>
      </c>
      <c r="AO88" s="217">
        <v>0</v>
      </c>
      <c r="AP88" s="232"/>
      <c r="AQ88" s="229"/>
      <c r="AR88" s="212">
        <v>14.88</v>
      </c>
      <c r="AS88" s="212">
        <f t="shared" si="3"/>
        <v>0</v>
      </c>
      <c r="AT88" s="227">
        <v>76</v>
      </c>
      <c r="AU88" s="228">
        <f t="shared" si="4"/>
        <v>1130.8800000000001</v>
      </c>
      <c r="AV88" s="279">
        <f t="shared" si="11"/>
        <v>76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121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3">
        <v>45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45</v>
      </c>
      <c r="AU89" s="228"/>
      <c r="AV89" s="279">
        <v>45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78" t="s">
        <v>58</v>
      </c>
      <c r="G90" s="222" t="s">
        <v>123</v>
      </c>
      <c r="H90" s="193" t="s">
        <v>91</v>
      </c>
      <c r="I90" s="193" t="s">
        <v>91</v>
      </c>
      <c r="J90" s="193">
        <v>5</v>
      </c>
      <c r="K90" s="193">
        <v>5</v>
      </c>
      <c r="L90" s="243">
        <v>2899.28</v>
      </c>
      <c r="M90" s="242">
        <f>J90*K90</f>
        <v>25</v>
      </c>
      <c r="N90" s="243">
        <f t="shared" si="9"/>
        <v>72482</v>
      </c>
      <c r="O90" s="193">
        <v>4</v>
      </c>
      <c r="P90" s="243">
        <v>8377.6</v>
      </c>
      <c r="Q90" s="193"/>
      <c r="R90" s="243"/>
      <c r="S90" s="193"/>
      <c r="T90" s="243"/>
      <c r="U90" s="203" t="s">
        <v>122</v>
      </c>
      <c r="V90" s="115">
        <v>1745</v>
      </c>
      <c r="W90" s="114">
        <v>43096</v>
      </c>
      <c r="X90" s="193" t="s">
        <v>117</v>
      </c>
      <c r="Y90" s="200">
        <v>43109</v>
      </c>
      <c r="Z90" s="193" t="s">
        <v>118</v>
      </c>
      <c r="AA90" s="200">
        <v>43133</v>
      </c>
      <c r="AB90" s="22">
        <v>0</v>
      </c>
      <c r="AC90" s="170">
        <v>0</v>
      </c>
      <c r="AD90" s="209">
        <v>4</v>
      </c>
      <c r="AE90" s="194">
        <v>9062.24</v>
      </c>
      <c r="AF90" s="209"/>
      <c r="AG90" s="194"/>
      <c r="AH90" s="209"/>
      <c r="AI90" s="194"/>
      <c r="AJ90" s="233">
        <f t="shared" si="6"/>
        <v>4</v>
      </c>
      <c r="AK90" s="170">
        <f t="shared" si="6"/>
        <v>9062.24</v>
      </c>
      <c r="AL90" s="272">
        <v>0</v>
      </c>
      <c r="AM90" s="212">
        <v>0</v>
      </c>
      <c r="AN90" s="269">
        <v>4</v>
      </c>
      <c r="AO90" s="217">
        <f t="shared" ref="AO90:AO97" si="12">AC90+AK90-AM90</f>
        <v>9062.24</v>
      </c>
      <c r="AP90" s="232"/>
      <c r="AQ90" s="229"/>
      <c r="AR90" s="212">
        <v>2265.56</v>
      </c>
      <c r="AS90" s="212">
        <f t="shared" si="3"/>
        <v>0</v>
      </c>
      <c r="AT90" s="227">
        <v>4</v>
      </c>
      <c r="AU90" s="228">
        <f t="shared" si="4"/>
        <v>9062.24</v>
      </c>
      <c r="AV90" s="279">
        <f t="shared" si="11"/>
        <v>4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78" t="s">
        <v>58</v>
      </c>
      <c r="G91" s="222" t="s">
        <v>123</v>
      </c>
      <c r="H91" s="193" t="s">
        <v>91</v>
      </c>
      <c r="I91" s="193" t="s">
        <v>91</v>
      </c>
      <c r="J91" s="193"/>
      <c r="K91" s="193"/>
      <c r="L91" s="243"/>
      <c r="M91" s="242">
        <f t="shared" ref="M91:M97" si="13">J91*K91</f>
        <v>0</v>
      </c>
      <c r="N91" s="243">
        <f>L91*M91</f>
        <v>0</v>
      </c>
      <c r="O91" s="193"/>
      <c r="P91" s="243"/>
      <c r="Q91" s="193"/>
      <c r="R91" s="243"/>
      <c r="S91" s="193"/>
      <c r="T91" s="243"/>
      <c r="U91" s="203" t="s">
        <v>170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</v>
      </c>
      <c r="AE91" s="194">
        <v>4531.12</v>
      </c>
      <c r="AF91" s="209"/>
      <c r="AG91" s="194"/>
      <c r="AH91" s="209"/>
      <c r="AI91" s="194"/>
      <c r="AJ91" s="233">
        <f t="shared" si="6"/>
        <v>2</v>
      </c>
      <c r="AK91" s="170">
        <f t="shared" si="6"/>
        <v>4531.12</v>
      </c>
      <c r="AL91" s="272">
        <v>0</v>
      </c>
      <c r="AM91" s="212">
        <v>0</v>
      </c>
      <c r="AN91" s="269">
        <v>2</v>
      </c>
      <c r="AO91" s="217">
        <f t="shared" si="12"/>
        <v>4531.12</v>
      </c>
      <c r="AP91" s="232"/>
      <c r="AQ91" s="229"/>
      <c r="AR91" s="212">
        <v>2265.56</v>
      </c>
      <c r="AS91" s="212">
        <f t="shared" ref="AS91:AS97" si="14">AQ91*AR91</f>
        <v>0</v>
      </c>
      <c r="AT91" s="227">
        <v>2</v>
      </c>
      <c r="AU91" s="228">
        <f t="shared" ref="AU91:AU97" si="15">AT91*AR91</f>
        <v>4531.12</v>
      </c>
      <c r="AV91" s="279">
        <f t="shared" si="11"/>
        <v>2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82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si="13"/>
        <v>144</v>
      </c>
      <c r="N92" s="243">
        <f t="shared" ref="N92:N97" si="16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3">
        <f t="shared" ref="AJ92:AK97" si="17">AD92+AF92+AH92</f>
        <v>14</v>
      </c>
      <c r="AK92" s="170">
        <f t="shared" si="17"/>
        <v>774.48</v>
      </c>
      <c r="AL92" s="272">
        <v>0</v>
      </c>
      <c r="AM92" s="212">
        <v>0</v>
      </c>
      <c r="AN92" s="269">
        <v>14</v>
      </c>
      <c r="AO92" s="217">
        <f t="shared" si="12"/>
        <v>774.48</v>
      </c>
      <c r="AP92" s="232"/>
      <c r="AQ92" s="229"/>
      <c r="AR92" s="212">
        <v>55.32</v>
      </c>
      <c r="AS92" s="212">
        <f t="shared" si="14"/>
        <v>0</v>
      </c>
      <c r="AT92" s="227">
        <f>14-2</f>
        <v>12</v>
      </c>
      <c r="AU92" s="228">
        <f t="shared" si="15"/>
        <v>663.84</v>
      </c>
      <c r="AV92" s="279">
        <f t="shared" si="11"/>
        <v>12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82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3"/>
        <v>0</v>
      </c>
      <c r="N93" s="243">
        <f t="shared" si="16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3">
        <f t="shared" si="17"/>
        <v>26</v>
      </c>
      <c r="AK93" s="170">
        <f t="shared" si="17"/>
        <v>1438.32</v>
      </c>
      <c r="AL93" s="272">
        <v>0</v>
      </c>
      <c r="AM93" s="212">
        <v>0</v>
      </c>
      <c r="AN93" s="269">
        <v>26</v>
      </c>
      <c r="AO93" s="217">
        <f t="shared" si="12"/>
        <v>1438.32</v>
      </c>
      <c r="AP93" s="232"/>
      <c r="AQ93" s="229"/>
      <c r="AR93" s="212">
        <v>55.32</v>
      </c>
      <c r="AS93" s="212">
        <f t="shared" si="14"/>
        <v>0</v>
      </c>
      <c r="AT93" s="227">
        <v>26</v>
      </c>
      <c r="AU93" s="228">
        <f t="shared" si="15"/>
        <v>1438.32</v>
      </c>
      <c r="AV93" s="279">
        <f t="shared" si="11"/>
        <v>26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79" t="s">
        <v>62</v>
      </c>
      <c r="G94" s="222" t="s">
        <v>129</v>
      </c>
      <c r="H94" s="193" t="s">
        <v>91</v>
      </c>
      <c r="I94" s="193" t="s">
        <v>91</v>
      </c>
      <c r="J94" s="193">
        <v>24</v>
      </c>
      <c r="K94" s="193">
        <v>4</v>
      </c>
      <c r="L94" s="243">
        <v>984.1</v>
      </c>
      <c r="M94" s="242">
        <f t="shared" si="13"/>
        <v>96</v>
      </c>
      <c r="N94" s="243">
        <f t="shared" si="16"/>
        <v>94473.600000000006</v>
      </c>
      <c r="O94" s="193">
        <v>6</v>
      </c>
      <c r="P94" s="243">
        <v>4721.3999999999996</v>
      </c>
      <c r="Q94" s="193"/>
      <c r="R94" s="243"/>
      <c r="S94" s="193"/>
      <c r="T94" s="243"/>
      <c r="U94" s="203" t="s">
        <v>130</v>
      </c>
      <c r="V94" s="115">
        <v>135</v>
      </c>
      <c r="W94" s="114">
        <v>42761</v>
      </c>
      <c r="X94" s="193" t="s">
        <v>126</v>
      </c>
      <c r="Y94" s="200">
        <v>43130</v>
      </c>
      <c r="Z94" s="193"/>
      <c r="AA94" s="193"/>
      <c r="AB94" s="22">
        <v>0</v>
      </c>
      <c r="AC94" s="170">
        <v>0</v>
      </c>
      <c r="AD94" s="209">
        <v>6</v>
      </c>
      <c r="AE94" s="194">
        <v>4549.08</v>
      </c>
      <c r="AF94" s="209"/>
      <c r="AG94" s="194"/>
      <c r="AH94" s="209"/>
      <c r="AI94" s="194"/>
      <c r="AJ94" s="233">
        <f t="shared" si="17"/>
        <v>6</v>
      </c>
      <c r="AK94" s="170">
        <f t="shared" si="17"/>
        <v>4549.08</v>
      </c>
      <c r="AL94" s="272">
        <v>0</v>
      </c>
      <c r="AM94" s="212">
        <v>0</v>
      </c>
      <c r="AN94" s="269">
        <v>6</v>
      </c>
      <c r="AO94" s="217">
        <f t="shared" si="12"/>
        <v>4549.08</v>
      </c>
      <c r="AP94" s="232"/>
      <c r="AQ94" s="229"/>
      <c r="AR94" s="212">
        <v>758.18</v>
      </c>
      <c r="AS94" s="212">
        <f t="shared" si="14"/>
        <v>0</v>
      </c>
      <c r="AT94" s="227">
        <v>6</v>
      </c>
      <c r="AU94" s="228">
        <f t="shared" si="15"/>
        <v>4549.08</v>
      </c>
      <c r="AV94" s="279">
        <f t="shared" si="11"/>
        <v>6</v>
      </c>
    </row>
    <row r="95" spans="1:48" s="62" customFormat="1" ht="26.25" customHeight="1">
      <c r="A95" s="59"/>
      <c r="B95" s="60"/>
      <c r="C95" s="60"/>
      <c r="D95" s="22"/>
      <c r="E95" s="79" t="s">
        <v>24</v>
      </c>
      <c r="F95" s="179" t="s">
        <v>62</v>
      </c>
      <c r="G95" s="222" t="s">
        <v>129</v>
      </c>
      <c r="H95" s="193" t="s">
        <v>91</v>
      </c>
      <c r="I95" s="193" t="s">
        <v>91</v>
      </c>
      <c r="J95" s="193"/>
      <c r="K95" s="193"/>
      <c r="L95" s="243"/>
      <c r="M95" s="242">
        <f t="shared" si="13"/>
        <v>0</v>
      </c>
      <c r="N95" s="243">
        <f t="shared" si="16"/>
        <v>0</v>
      </c>
      <c r="O95" s="193"/>
      <c r="P95" s="243"/>
      <c r="Q95" s="193"/>
      <c r="R95" s="243"/>
      <c r="S95" s="193"/>
      <c r="T95" s="243"/>
      <c r="U95" s="203" t="s">
        <v>172</v>
      </c>
      <c r="V95" s="115">
        <v>834</v>
      </c>
      <c r="W95" s="114">
        <v>43222</v>
      </c>
      <c r="X95" s="193" t="s">
        <v>162</v>
      </c>
      <c r="Y95" s="200">
        <v>43242</v>
      </c>
      <c r="Z95" s="193"/>
      <c r="AA95" s="193"/>
      <c r="AB95" s="22">
        <v>0</v>
      </c>
      <c r="AC95" s="170">
        <v>0</v>
      </c>
      <c r="AD95" s="209">
        <v>10</v>
      </c>
      <c r="AE95" s="194">
        <v>7581.8</v>
      </c>
      <c r="AF95" s="209"/>
      <c r="AG95" s="194"/>
      <c r="AH95" s="209"/>
      <c r="AI95" s="194"/>
      <c r="AJ95" s="233">
        <f t="shared" si="17"/>
        <v>10</v>
      </c>
      <c r="AK95" s="170">
        <f t="shared" si="17"/>
        <v>7581.8</v>
      </c>
      <c r="AL95" s="272">
        <v>0</v>
      </c>
      <c r="AM95" s="212">
        <v>0</v>
      </c>
      <c r="AN95" s="269">
        <v>10</v>
      </c>
      <c r="AO95" s="217">
        <f t="shared" si="12"/>
        <v>7581.8</v>
      </c>
      <c r="AP95" s="232"/>
      <c r="AQ95" s="229"/>
      <c r="AR95" s="212">
        <v>758.18</v>
      </c>
      <c r="AS95" s="212">
        <f t="shared" si="14"/>
        <v>0</v>
      </c>
      <c r="AT95" s="227">
        <v>10</v>
      </c>
      <c r="AU95" s="228">
        <f t="shared" si="15"/>
        <v>7581.7999999999993</v>
      </c>
      <c r="AV95" s="279">
        <f t="shared" si="11"/>
        <v>10</v>
      </c>
    </row>
    <row r="96" spans="1:48" s="62" customFormat="1" ht="26.25" customHeight="1">
      <c r="A96" s="59"/>
      <c r="B96" s="60"/>
      <c r="C96" s="60"/>
      <c r="D96" s="22"/>
      <c r="E96" s="79"/>
      <c r="F96" s="179" t="s">
        <v>62</v>
      </c>
      <c r="G96" s="222" t="s">
        <v>129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/>
      <c r="V96" s="115"/>
      <c r="W96" s="114"/>
      <c r="X96" s="193"/>
      <c r="Y96" s="200"/>
      <c r="Z96" s="193"/>
      <c r="AA96" s="193"/>
      <c r="AB96" s="22"/>
      <c r="AC96" s="170"/>
      <c r="AD96" s="209"/>
      <c r="AE96" s="194"/>
      <c r="AF96" s="209"/>
      <c r="AG96" s="194"/>
      <c r="AH96" s="209"/>
      <c r="AI96" s="194"/>
      <c r="AJ96" s="233">
        <v>4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27">
        <v>4</v>
      </c>
      <c r="AU96" s="228"/>
      <c r="AV96" s="279">
        <v>4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91" t="s">
        <v>66</v>
      </c>
      <c r="G97" s="222" t="s">
        <v>135</v>
      </c>
      <c r="H97" s="193" t="s">
        <v>91</v>
      </c>
      <c r="I97" s="193" t="s">
        <v>91</v>
      </c>
      <c r="J97" s="193">
        <v>4</v>
      </c>
      <c r="K97" s="193">
        <v>4</v>
      </c>
      <c r="L97" s="243">
        <v>2051.94</v>
      </c>
      <c r="M97" s="242">
        <f t="shared" si="13"/>
        <v>16</v>
      </c>
      <c r="N97" s="243">
        <f t="shared" si="16"/>
        <v>32831.040000000001</v>
      </c>
      <c r="O97" s="193">
        <v>4</v>
      </c>
      <c r="P97" s="243">
        <v>4104.6400000000003</v>
      </c>
      <c r="Q97" s="193"/>
      <c r="R97" s="243"/>
      <c r="S97" s="193"/>
      <c r="T97" s="243"/>
      <c r="U97" s="203">
        <v>1633600163</v>
      </c>
      <c r="V97" s="115">
        <v>260</v>
      </c>
      <c r="W97" s="114">
        <v>43145</v>
      </c>
      <c r="X97" s="193" t="s">
        <v>94</v>
      </c>
      <c r="Y97" s="200">
        <v>43164</v>
      </c>
      <c r="Z97" s="193"/>
      <c r="AA97" s="193"/>
      <c r="AB97" s="22">
        <v>0</v>
      </c>
      <c r="AC97" s="170">
        <v>0</v>
      </c>
      <c r="AD97" s="209">
        <v>2</v>
      </c>
      <c r="AE97" s="194">
        <f>2020.4+2020.4</f>
        <v>4040.8</v>
      </c>
      <c r="AF97" s="209"/>
      <c r="AG97" s="194"/>
      <c r="AH97" s="209"/>
      <c r="AI97" s="194"/>
      <c r="AJ97" s="233">
        <f t="shared" si="17"/>
        <v>2</v>
      </c>
      <c r="AK97" s="170">
        <f t="shared" si="17"/>
        <v>4040.8</v>
      </c>
      <c r="AL97" s="272">
        <v>0</v>
      </c>
      <c r="AM97" s="212">
        <v>0</v>
      </c>
      <c r="AN97" s="269">
        <v>2</v>
      </c>
      <c r="AO97" s="217">
        <f t="shared" si="12"/>
        <v>4040.8</v>
      </c>
      <c r="AP97" s="232"/>
      <c r="AQ97" s="229"/>
      <c r="AR97" s="212">
        <v>2020.4</v>
      </c>
      <c r="AS97" s="212">
        <f t="shared" si="14"/>
        <v>0</v>
      </c>
      <c r="AT97" s="227">
        <v>2</v>
      </c>
      <c r="AU97" s="228">
        <f t="shared" si="15"/>
        <v>4040.8</v>
      </c>
      <c r="AV97" s="279">
        <f t="shared" si="11"/>
        <v>2</v>
      </c>
    </row>
    <row r="98" spans="1:48" s="251" customFormat="1" ht="21" customHeight="1">
      <c r="A98" s="20" t="s">
        <v>11</v>
      </c>
      <c r="B98" s="20"/>
      <c r="C98" s="20"/>
      <c r="D98" s="695" t="s">
        <v>34</v>
      </c>
      <c r="E98" s="696"/>
      <c r="F98" s="697"/>
      <c r="G98" s="246"/>
      <c r="H98" s="246"/>
      <c r="I98" s="246"/>
      <c r="J98" s="246"/>
      <c r="K98" s="247">
        <f>SUM(K17:K97)</f>
        <v>34</v>
      </c>
      <c r="L98" s="248"/>
      <c r="M98" s="246"/>
      <c r="N98" s="249">
        <f>SUM(N17:N97)</f>
        <v>3452363.2</v>
      </c>
      <c r="O98" s="248"/>
      <c r="P98" s="249">
        <f t="shared" ref="P98:T98" si="18">SUM(P17:P97)</f>
        <v>1903757.27</v>
      </c>
      <c r="Q98" s="248"/>
      <c r="R98" s="249">
        <f t="shared" si="18"/>
        <v>1395649.94</v>
      </c>
      <c r="S98" s="248"/>
      <c r="T98" s="249">
        <f t="shared" si="18"/>
        <v>1083638.72</v>
      </c>
      <c r="U98" s="291" t="s">
        <v>156</v>
      </c>
      <c r="V98" s="291" t="s">
        <v>156</v>
      </c>
      <c r="W98" s="291" t="s">
        <v>156</v>
      </c>
      <c r="X98" s="250" t="s">
        <v>156</v>
      </c>
      <c r="Y98" s="250" t="s">
        <v>156</v>
      </c>
      <c r="Z98" s="250" t="s">
        <v>156</v>
      </c>
      <c r="AA98" s="250" t="s">
        <v>156</v>
      </c>
      <c r="AB98" s="176">
        <f>SUM(AB17:AB41)</f>
        <v>1342</v>
      </c>
      <c r="AC98" s="171">
        <f>SUM(AC17:AC78)</f>
        <v>493758.06</v>
      </c>
      <c r="AD98" s="210">
        <f>SUM(AD17:AD97)</f>
        <v>13168</v>
      </c>
      <c r="AE98" s="195">
        <f t="shared" ref="AE98:AM98" si="19">SUM(AE17:AE97)</f>
        <v>1524549.46</v>
      </c>
      <c r="AF98" s="210">
        <f t="shared" si="19"/>
        <v>0</v>
      </c>
      <c r="AG98" s="195">
        <f t="shared" si="19"/>
        <v>0</v>
      </c>
      <c r="AH98" s="210">
        <f t="shared" si="19"/>
        <v>0</v>
      </c>
      <c r="AI98" s="195">
        <f t="shared" si="19"/>
        <v>0</v>
      </c>
      <c r="AJ98" s="176">
        <f>SUM(AJ17:AJ97)</f>
        <v>13646</v>
      </c>
      <c r="AK98" s="175">
        <f>SUM(AK17:AK97)</f>
        <v>1524549.46</v>
      </c>
      <c r="AL98" s="213">
        <f t="shared" si="19"/>
        <v>2245</v>
      </c>
      <c r="AM98" s="214">
        <f t="shared" si="19"/>
        <v>504590.05000000005</v>
      </c>
      <c r="AN98" s="218">
        <f>SUM(AN17:AN97)</f>
        <v>12265</v>
      </c>
      <c r="AO98" s="219">
        <f>SUM(AO17:AO97)</f>
        <v>1495993.66</v>
      </c>
      <c r="AP98" s="286">
        <f>SUM(AP17:AP97)</f>
        <v>0</v>
      </c>
      <c r="AQ98" s="287">
        <f>SUM(AQ17:AQ97)</f>
        <v>0</v>
      </c>
      <c r="AR98" s="226" t="s">
        <v>156</v>
      </c>
      <c r="AS98" s="226">
        <f>SUM(AS17:AS97)</f>
        <v>0</v>
      </c>
      <c r="AT98" s="261">
        <f>SUM(AT17:AT97)</f>
        <v>4739</v>
      </c>
      <c r="AU98" s="228">
        <f>SUM(AU17:AU97)</f>
        <v>936213.67</v>
      </c>
      <c r="AV98" s="236">
        <f>SUM(AV17:AV97)</f>
        <v>4739</v>
      </c>
    </row>
    <row r="99" spans="1:48" s="336" customFormat="1" ht="21" customHeight="1">
      <c r="A99" s="20"/>
      <c r="B99" s="20"/>
      <c r="C99" s="20"/>
      <c r="D99" s="294"/>
      <c r="E99" s="294"/>
      <c r="F99" s="294"/>
      <c r="G99" s="330"/>
      <c r="H99" s="330"/>
      <c r="I99" s="330"/>
      <c r="J99" s="330"/>
      <c r="K99" s="331"/>
      <c r="L99" s="332"/>
      <c r="M99" s="330"/>
      <c r="N99" s="333"/>
      <c r="O99" s="332"/>
      <c r="P99" s="333"/>
      <c r="Q99" s="332"/>
      <c r="R99" s="333"/>
      <c r="S99" s="332"/>
      <c r="T99" s="333"/>
      <c r="U99" s="295"/>
      <c r="V99" s="295"/>
      <c r="W99" s="295"/>
      <c r="X99" s="295"/>
      <c r="Y99" s="295"/>
      <c r="Z99" s="295"/>
      <c r="AA99" s="295"/>
      <c r="AB99" s="296"/>
      <c r="AC99" s="297"/>
      <c r="AD99" s="296"/>
      <c r="AE99" s="297"/>
      <c r="AF99" s="296"/>
      <c r="AG99" s="297"/>
      <c r="AH99" s="296"/>
      <c r="AI99" s="297"/>
      <c r="AJ99" s="298"/>
      <c r="AK99" s="299"/>
      <c r="AL99" s="334"/>
      <c r="AM99" s="297"/>
      <c r="AN99" s="296"/>
      <c r="AO99" s="297"/>
      <c r="AP99" s="298"/>
      <c r="AQ99" s="335"/>
      <c r="AR99" s="333"/>
      <c r="AS99" s="333"/>
      <c r="AT99" s="331"/>
      <c r="AU99" s="333"/>
      <c r="AV99" s="331"/>
    </row>
    <row r="100" spans="1:48" s="336" customFormat="1" ht="21" hidden="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29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292" customFormat="1" ht="20.25" hidden="1">
      <c r="A101" s="301"/>
      <c r="B101" s="301"/>
      <c r="C101" s="301"/>
      <c r="D101" s="302"/>
      <c r="E101" s="301"/>
      <c r="F101" s="303" t="s">
        <v>205</v>
      </c>
      <c r="G101" s="303"/>
      <c r="H101" s="303" t="s">
        <v>208</v>
      </c>
      <c r="I101" s="303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3"/>
      <c r="V101" s="303"/>
      <c r="X101" s="303"/>
      <c r="Y101" s="303"/>
      <c r="Z101" s="303"/>
      <c r="AA101" s="303" t="s">
        <v>208</v>
      </c>
      <c r="AB101" s="303"/>
      <c r="AC101" s="303"/>
      <c r="AD101" s="303"/>
      <c r="AE101" s="303"/>
      <c r="AF101" s="303"/>
      <c r="AG101" s="303"/>
      <c r="AH101" s="303"/>
      <c r="AI101" s="303"/>
      <c r="AJ101" s="301"/>
      <c r="AK101" s="303"/>
      <c r="AL101" s="301"/>
      <c r="AM101" s="30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20.25" hidden="1">
      <c r="A102" s="301"/>
      <c r="B102" s="301"/>
      <c r="C102" s="301"/>
      <c r="D102" s="302"/>
      <c r="E102" s="301"/>
      <c r="F102" s="303"/>
      <c r="G102" s="303"/>
      <c r="H102" s="303"/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1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1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15" hidden="1" customHeight="1">
      <c r="A104" s="309"/>
      <c r="B104" s="309"/>
      <c r="C104" s="309"/>
      <c r="D104" s="302"/>
      <c r="E104" s="309"/>
      <c r="F104" s="310"/>
      <c r="G104" s="310"/>
      <c r="H104" s="308"/>
      <c r="I104" s="308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8"/>
      <c r="V104" s="311"/>
      <c r="AA104" s="311"/>
      <c r="AJ104" s="293"/>
      <c r="AK104" s="312"/>
      <c r="AL104" s="309"/>
      <c r="AM104" s="31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8" hidden="1" customHeight="1">
      <c r="A105" s="314" t="s">
        <v>12</v>
      </c>
      <c r="B105" s="314"/>
      <c r="C105" s="314"/>
      <c r="D105" s="315"/>
      <c r="E105" s="314"/>
      <c r="F105" s="316" t="s">
        <v>206</v>
      </c>
      <c r="G105" s="316"/>
      <c r="H105" s="736" t="s">
        <v>209</v>
      </c>
      <c r="I105" s="736"/>
      <c r="J105" s="736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8"/>
      <c r="V105" s="319"/>
      <c r="X105" s="303"/>
      <c r="Y105" s="316"/>
      <c r="Z105" s="316"/>
      <c r="AA105" s="320" t="s">
        <v>209</v>
      </c>
      <c r="AB105" s="316"/>
      <c r="AC105" s="316"/>
      <c r="AD105" s="316"/>
      <c r="AE105" s="316"/>
      <c r="AF105" s="316"/>
      <c r="AG105" s="316"/>
      <c r="AH105" s="316"/>
      <c r="AI105" s="316"/>
      <c r="AJ105" s="314"/>
      <c r="AK105" s="316"/>
      <c r="AL105" s="314"/>
      <c r="AM105" s="316"/>
      <c r="AN105" s="314"/>
      <c r="AO105" s="321"/>
      <c r="AP105" s="307"/>
      <c r="AQ105" s="302"/>
      <c r="AR105" s="308"/>
      <c r="AS105" s="308"/>
      <c r="AT105" s="302"/>
      <c r="AU105" s="302"/>
      <c r="AV105" s="302"/>
    </row>
    <row r="106" spans="1:48" s="62" customFormat="1" ht="18.75" hidden="1">
      <c r="A106" s="11"/>
      <c r="B106" s="11"/>
      <c r="C106" s="11"/>
      <c r="D106" s="255"/>
      <c r="E106" s="11"/>
      <c r="F106" s="322"/>
      <c r="G106" s="322"/>
      <c r="H106" s="322"/>
      <c r="I106" s="322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4"/>
      <c r="AK106" s="322"/>
      <c r="AL106" s="324"/>
      <c r="AM106" s="322"/>
      <c r="AN106" s="281"/>
      <c r="AO106" s="325"/>
      <c r="AP106" s="326"/>
      <c r="AQ106" s="440"/>
      <c r="AR106" s="255"/>
      <c r="AS106" s="255"/>
      <c r="AT106" s="440"/>
      <c r="AU106" s="440"/>
      <c r="AV106" s="440"/>
    </row>
    <row r="107" spans="1:48" s="103" customFormat="1" ht="57.75" hidden="1" customHeight="1">
      <c r="A107" s="11"/>
      <c r="B107" s="11"/>
      <c r="C107" s="11"/>
      <c r="D107" s="255"/>
      <c r="E107" s="720" t="s">
        <v>207</v>
      </c>
      <c r="F107" s="720"/>
      <c r="G107" s="327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9"/>
      <c r="W107" s="329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281"/>
      <c r="AK107" s="11"/>
      <c r="AL107" s="281"/>
      <c r="AM107" s="11"/>
      <c r="AN107" s="281"/>
      <c r="AP107" s="326"/>
      <c r="AQ107" s="440"/>
      <c r="AR107" s="255"/>
      <c r="AS107" s="255"/>
      <c r="AT107" s="440"/>
      <c r="AU107" s="440"/>
      <c r="AV107" s="440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8:F98"/>
    <mergeCell ref="H105:J105"/>
    <mergeCell ref="U14:U16"/>
    <mergeCell ref="V14:W15"/>
    <mergeCell ref="O15:P15"/>
    <mergeCell ref="Q15:R15"/>
    <mergeCell ref="S15:T15"/>
    <mergeCell ref="E107:F107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7"/>
  <sheetViews>
    <sheetView view="pageBreakPreview" topLeftCell="C1" zoomScale="70" zoomScaleSheetLayoutView="70" workbookViewId="0">
      <selection activeCell="AZ96" sqref="AZ96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46"/>
      <c r="AR1" s="255"/>
      <c r="AS1" s="255"/>
      <c r="AT1" s="446"/>
      <c r="AU1" s="446"/>
      <c r="AV1" s="446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46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46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252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46"/>
      <c r="AR12" s="255"/>
      <c r="AS12" s="255"/>
      <c r="AT12" s="447"/>
      <c r="AU12" s="447"/>
      <c r="AV12" s="447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251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42" t="s">
        <v>77</v>
      </c>
      <c r="N16" s="442" t="s">
        <v>78</v>
      </c>
      <c r="O16" s="442" t="s">
        <v>77</v>
      </c>
      <c r="P16" s="442" t="s">
        <v>78</v>
      </c>
      <c r="Q16" s="442" t="s">
        <v>77</v>
      </c>
      <c r="R16" s="442" t="s">
        <v>78</v>
      </c>
      <c r="S16" s="442" t="s">
        <v>77</v>
      </c>
      <c r="T16" s="442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43" t="s">
        <v>77</v>
      </c>
      <c r="AE16" s="443" t="s">
        <v>78</v>
      </c>
      <c r="AF16" s="205" t="s">
        <v>77</v>
      </c>
      <c r="AG16" s="205" t="s">
        <v>78</v>
      </c>
      <c r="AH16" s="443" t="s">
        <v>77</v>
      </c>
      <c r="AI16" s="443" t="s">
        <v>78</v>
      </c>
      <c r="AJ16" s="97" t="s">
        <v>96</v>
      </c>
      <c r="AK16" s="96" t="s">
        <v>19</v>
      </c>
      <c r="AL16" s="444" t="s">
        <v>96</v>
      </c>
      <c r="AM16" s="444" t="s">
        <v>19</v>
      </c>
      <c r="AN16" s="216" t="s">
        <v>96</v>
      </c>
      <c r="AO16" s="216" t="s">
        <v>19</v>
      </c>
      <c r="AP16" s="207" t="s">
        <v>96</v>
      </c>
      <c r="AQ16" s="444" t="s">
        <v>96</v>
      </c>
      <c r="AR16" s="444" t="s">
        <v>107</v>
      </c>
      <c r="AS16" s="444" t="s">
        <v>19</v>
      </c>
      <c r="AT16" s="445" t="s">
        <v>96</v>
      </c>
      <c r="AU16" s="445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4" si="0">J18*K18</f>
        <v>0</v>
      </c>
      <c r="N18" s="243">
        <f t="shared" ref="N18:N86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6" si="2">AC18+AK18-AM18</f>
        <v>1026.1600000000001</v>
      </c>
      <c r="AP18" s="232"/>
      <c r="AQ18" s="229"/>
      <c r="AR18" s="212">
        <v>1026.1600000000001</v>
      </c>
      <c r="AS18" s="212">
        <f t="shared" ref="AS18:AS90" si="3">AQ18*AR18</f>
        <v>0</v>
      </c>
      <c r="AT18" s="227">
        <v>1</v>
      </c>
      <c r="AU18" s="228">
        <f t="shared" ref="AU18:AU90" si="4">AT18*AR18</f>
        <v>1026.1600000000001</v>
      </c>
      <c r="AV18" s="279">
        <f t="shared" ref="AV18:AV86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91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/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/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/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/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/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/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customHeight="1">
      <c r="A28" s="59"/>
      <c r="B28" s="101"/>
      <c r="C28" s="101"/>
      <c r="D28" s="22"/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customHeight="1">
      <c r="A29" s="59"/>
      <c r="B29" s="101"/>
      <c r="C29" s="101"/>
      <c r="D29" s="22"/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/>
      <c r="E30" s="104" t="s">
        <v>24</v>
      </c>
      <c r="F30" s="51" t="s">
        <v>238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/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/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/>
      <c r="E33" s="79" t="s">
        <v>24</v>
      </c>
      <c r="F33" s="51" t="s">
        <v>247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>
        <f t="shared" si="6"/>
        <v>0</v>
      </c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33">
        <f>52-50-2</f>
        <v>0</v>
      </c>
      <c r="AU33" s="386">
        <f t="shared" si="4"/>
        <v>0</v>
      </c>
      <c r="AV33" s="233">
        <f t="shared" si="5"/>
        <v>0</v>
      </c>
    </row>
    <row r="34" spans="1:48" s="103" customFormat="1" ht="26.25" customHeight="1">
      <c r="A34" s="283"/>
      <c r="B34" s="101"/>
      <c r="C34" s="101"/>
      <c r="D34" s="22"/>
      <c r="E34" s="104" t="s">
        <v>24</v>
      </c>
      <c r="F34" s="51" t="s">
        <v>248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248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/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/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427"/>
      <c r="D38" s="428"/>
      <c r="E38" s="79"/>
      <c r="F38" s="162" t="s">
        <v>43</v>
      </c>
      <c r="G38" s="222" t="s">
        <v>163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243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3">
        <v>10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10</v>
      </c>
      <c r="AU38" s="228"/>
      <c r="AV38" s="279">
        <f t="shared" si="5"/>
        <v>10</v>
      </c>
    </row>
    <row r="39" spans="1:48" s="62" customFormat="1" ht="24" customHeight="1">
      <c r="A39" s="59"/>
      <c r="B39" s="60"/>
      <c r="C39" s="60"/>
      <c r="D39" s="22"/>
      <c r="E39" s="79" t="s">
        <v>24</v>
      </c>
      <c r="F39" s="51" t="s">
        <v>43</v>
      </c>
      <c r="G39" s="275" t="s">
        <v>163</v>
      </c>
      <c r="H39" s="115" t="s">
        <v>91</v>
      </c>
      <c r="I39" s="115" t="s">
        <v>91</v>
      </c>
      <c r="J39" s="115">
        <v>96</v>
      </c>
      <c r="K39" s="115">
        <v>2</v>
      </c>
      <c r="L39" s="276">
        <v>543.58000000000004</v>
      </c>
      <c r="M39" s="277">
        <f t="shared" si="0"/>
        <v>192</v>
      </c>
      <c r="N39" s="276">
        <f t="shared" si="1"/>
        <v>104367.36000000002</v>
      </c>
      <c r="O39" s="115">
        <v>250</v>
      </c>
      <c r="P39" s="276">
        <v>123662.5</v>
      </c>
      <c r="Q39" s="115">
        <v>231</v>
      </c>
      <c r="R39" s="276">
        <v>123617.34</v>
      </c>
      <c r="S39" s="115">
        <v>502</v>
      </c>
      <c r="T39" s="276">
        <v>272877.15999999997</v>
      </c>
      <c r="U39" s="278" t="s">
        <v>164</v>
      </c>
      <c r="V39" s="115">
        <v>834</v>
      </c>
      <c r="W39" s="114">
        <v>43222</v>
      </c>
      <c r="X39" s="115" t="s">
        <v>162</v>
      </c>
      <c r="Y39" s="221">
        <v>43242</v>
      </c>
      <c r="Z39" s="115"/>
      <c r="AA39" s="115"/>
      <c r="AB39" s="35">
        <v>0</v>
      </c>
      <c r="AC39" s="170">
        <v>0</v>
      </c>
      <c r="AD39" s="208">
        <v>15</v>
      </c>
      <c r="AE39" s="170">
        <v>8028.3</v>
      </c>
      <c r="AF39" s="208"/>
      <c r="AG39" s="170"/>
      <c r="AH39" s="208"/>
      <c r="AI39" s="170"/>
      <c r="AJ39" s="233">
        <f t="shared" si="6"/>
        <v>15</v>
      </c>
      <c r="AK39" s="170">
        <f t="shared" si="6"/>
        <v>8028.3</v>
      </c>
      <c r="AL39" s="270">
        <v>0</v>
      </c>
      <c r="AM39" s="170">
        <v>0</v>
      </c>
      <c r="AN39" s="270">
        <v>15</v>
      </c>
      <c r="AO39" s="170">
        <f t="shared" si="2"/>
        <v>8028.3</v>
      </c>
      <c r="AP39" s="233"/>
      <c r="AQ39" s="233"/>
      <c r="AR39" s="170">
        <v>535.22</v>
      </c>
      <c r="AS39" s="170">
        <f t="shared" si="3"/>
        <v>0</v>
      </c>
      <c r="AT39" s="233">
        <f>15-15</f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/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204</v>
      </c>
      <c r="V40" s="115">
        <v>1405</v>
      </c>
      <c r="W40" s="114">
        <v>43052</v>
      </c>
      <c r="X40" s="115"/>
      <c r="Y40" s="115"/>
      <c r="Z40" s="115"/>
      <c r="AA40" s="115"/>
      <c r="AB40" s="35">
        <v>120</v>
      </c>
      <c r="AC40" s="170">
        <v>58734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f>15+30+10+25+20+20</f>
        <v>120</v>
      </c>
      <c r="AM40" s="170">
        <f>7341.75+14683.5+4894.5+12236.25+9789</f>
        <v>48945</v>
      </c>
      <c r="AN40" s="270">
        <v>0</v>
      </c>
      <c r="AO40" s="170">
        <f t="shared" si="2"/>
        <v>9789</v>
      </c>
      <c r="AP40" s="233"/>
      <c r="AQ40" s="233"/>
      <c r="AR40" s="170">
        <v>489.45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/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/>
      <c r="V41" s="115">
        <v>1476</v>
      </c>
      <c r="W41" s="114">
        <v>43066</v>
      </c>
      <c r="X41" s="115" t="s">
        <v>201</v>
      </c>
      <c r="Y41" s="221">
        <v>43068</v>
      </c>
      <c r="Z41" s="115" t="s">
        <v>210</v>
      </c>
      <c r="AA41" s="221">
        <v>43073</v>
      </c>
      <c r="AB41" s="35">
        <v>30</v>
      </c>
      <c r="AC41" s="170">
        <v>14683.5</v>
      </c>
      <c r="AD41" s="208"/>
      <c r="AE41" s="170"/>
      <c r="AF41" s="208"/>
      <c r="AG41" s="170"/>
      <c r="AH41" s="208"/>
      <c r="AI41" s="170"/>
      <c r="AJ41" s="233">
        <f t="shared" si="6"/>
        <v>0</v>
      </c>
      <c r="AK41" s="170">
        <f t="shared" si="6"/>
        <v>0</v>
      </c>
      <c r="AL41" s="270">
        <v>30</v>
      </c>
      <c r="AM41" s="170">
        <v>14683.5</v>
      </c>
      <c r="AN41" s="270">
        <v>0</v>
      </c>
      <c r="AO41" s="170">
        <f t="shared" si="2"/>
        <v>0</v>
      </c>
      <c r="AP41" s="233"/>
      <c r="AQ41" s="233"/>
      <c r="AR41" s="170"/>
      <c r="AS41" s="170">
        <f t="shared" si="3"/>
        <v>0</v>
      </c>
      <c r="AT41" s="208">
        <v>0</v>
      </c>
      <c r="AU41" s="170">
        <f t="shared" si="4"/>
        <v>0</v>
      </c>
      <c r="AV41" s="233">
        <f t="shared" si="5"/>
        <v>0</v>
      </c>
    </row>
    <row r="42" spans="1:48" s="62" customFormat="1" ht="24" customHeight="1">
      <c r="A42" s="59"/>
      <c r="B42" s="60"/>
      <c r="C42" s="60"/>
      <c r="D42" s="22"/>
      <c r="E42" s="79" t="s">
        <v>24</v>
      </c>
      <c r="F42" s="51" t="s">
        <v>48</v>
      </c>
      <c r="G42" s="275" t="s">
        <v>152</v>
      </c>
      <c r="H42" s="115" t="s">
        <v>91</v>
      </c>
      <c r="I42" s="115" t="s">
        <v>91</v>
      </c>
      <c r="J42" s="115">
        <v>360</v>
      </c>
      <c r="K42" s="115">
        <v>2</v>
      </c>
      <c r="L42" s="276">
        <v>497.09</v>
      </c>
      <c r="M42" s="277">
        <f t="shared" si="0"/>
        <v>720</v>
      </c>
      <c r="N42" s="276">
        <f t="shared" si="1"/>
        <v>357904.8</v>
      </c>
      <c r="O42" s="115">
        <v>150</v>
      </c>
      <c r="P42" s="276">
        <v>67861.5</v>
      </c>
      <c r="Q42" s="115">
        <v>300</v>
      </c>
      <c r="R42" s="276">
        <v>146787</v>
      </c>
      <c r="S42" s="115">
        <v>490</v>
      </c>
      <c r="T42" s="276">
        <v>243574.1</v>
      </c>
      <c r="U42" s="278" t="s">
        <v>151</v>
      </c>
      <c r="V42" s="115">
        <v>546</v>
      </c>
      <c r="W42" s="114">
        <v>43182</v>
      </c>
      <c r="X42" s="115" t="s">
        <v>149</v>
      </c>
      <c r="Y42" s="221">
        <v>43201</v>
      </c>
      <c r="Z42" s="115" t="s">
        <v>147</v>
      </c>
      <c r="AA42" s="221">
        <v>43252</v>
      </c>
      <c r="AB42" s="35">
        <v>0</v>
      </c>
      <c r="AC42" s="170">
        <v>0</v>
      </c>
      <c r="AD42" s="208">
        <v>65</v>
      </c>
      <c r="AE42" s="170">
        <v>31814.25</v>
      </c>
      <c r="AF42" s="208"/>
      <c r="AG42" s="170"/>
      <c r="AH42" s="208"/>
      <c r="AI42" s="170"/>
      <c r="AJ42" s="233">
        <f t="shared" si="6"/>
        <v>65</v>
      </c>
      <c r="AK42" s="170">
        <f t="shared" si="6"/>
        <v>31814.25</v>
      </c>
      <c r="AL42" s="270">
        <v>0</v>
      </c>
      <c r="AM42" s="170">
        <v>0</v>
      </c>
      <c r="AN42" s="270">
        <v>65</v>
      </c>
      <c r="AO42" s="170">
        <f t="shared" si="2"/>
        <v>31814.25</v>
      </c>
      <c r="AP42" s="233"/>
      <c r="AQ42" s="233"/>
      <c r="AR42" s="170">
        <v>489.45</v>
      </c>
      <c r="AS42" s="170">
        <f t="shared" si="3"/>
        <v>0</v>
      </c>
      <c r="AT42" s="233">
        <f>35-35</f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1" t="s">
        <v>44</v>
      </c>
      <c r="G43" s="275" t="s">
        <v>116</v>
      </c>
      <c r="H43" s="115" t="s">
        <v>91</v>
      </c>
      <c r="I43" s="115" t="s">
        <v>91</v>
      </c>
      <c r="J43" s="115">
        <v>1750</v>
      </c>
      <c r="K43" s="115">
        <v>2</v>
      </c>
      <c r="L43" s="276">
        <v>199.06</v>
      </c>
      <c r="M43" s="277">
        <f t="shared" si="0"/>
        <v>3500</v>
      </c>
      <c r="N43" s="276">
        <f t="shared" si="1"/>
        <v>696710</v>
      </c>
      <c r="O43" s="115">
        <v>1000</v>
      </c>
      <c r="P43" s="276">
        <v>255340</v>
      </c>
      <c r="Q43" s="115"/>
      <c r="R43" s="276"/>
      <c r="S43" s="115">
        <v>368</v>
      </c>
      <c r="T43" s="276">
        <v>73254.080000000002</v>
      </c>
      <c r="U43" s="278" t="s">
        <v>119</v>
      </c>
      <c r="V43" s="115">
        <v>1583</v>
      </c>
      <c r="W43" s="114">
        <v>43082</v>
      </c>
      <c r="X43" s="115" t="s">
        <v>113</v>
      </c>
      <c r="Y43" s="221">
        <v>43109</v>
      </c>
      <c r="Z43" s="115" t="s">
        <v>110</v>
      </c>
      <c r="AA43" s="221">
        <v>43111</v>
      </c>
      <c r="AB43" s="22">
        <v>0</v>
      </c>
      <c r="AC43" s="170">
        <v>0</v>
      </c>
      <c r="AD43" s="208">
        <v>50</v>
      </c>
      <c r="AE43" s="170">
        <v>10109</v>
      </c>
      <c r="AF43" s="208"/>
      <c r="AG43" s="170"/>
      <c r="AH43" s="208"/>
      <c r="AI43" s="170"/>
      <c r="AJ43" s="233">
        <f t="shared" si="6"/>
        <v>50</v>
      </c>
      <c r="AK43" s="170">
        <f t="shared" si="6"/>
        <v>10109</v>
      </c>
      <c r="AL43" s="270">
        <v>10</v>
      </c>
      <c r="AM43" s="170">
        <f>AL43*AR43</f>
        <v>2021.8000000000002</v>
      </c>
      <c r="AN43" s="270">
        <v>40</v>
      </c>
      <c r="AO43" s="170">
        <f t="shared" si="2"/>
        <v>8087.2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1" t="s">
        <v>54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119</v>
      </c>
      <c r="V44" s="115">
        <v>1745</v>
      </c>
      <c r="W44" s="114">
        <v>43096</v>
      </c>
      <c r="X44" s="115" t="s">
        <v>117</v>
      </c>
      <c r="Y44" s="221">
        <v>43109</v>
      </c>
      <c r="Z44" s="115" t="s">
        <v>118</v>
      </c>
      <c r="AA44" s="221">
        <v>43133</v>
      </c>
      <c r="AB44" s="22">
        <v>0</v>
      </c>
      <c r="AC44" s="170">
        <v>0</v>
      </c>
      <c r="AD44" s="208">
        <v>45</v>
      </c>
      <c r="AE44" s="170">
        <v>9098.1</v>
      </c>
      <c r="AF44" s="208"/>
      <c r="AG44" s="170"/>
      <c r="AH44" s="208"/>
      <c r="AI44" s="170"/>
      <c r="AJ44" s="233">
        <f t="shared" si="6"/>
        <v>45</v>
      </c>
      <c r="AK44" s="170">
        <f t="shared" si="6"/>
        <v>9098.1</v>
      </c>
      <c r="AL44" s="270">
        <v>0</v>
      </c>
      <c r="AM44" s="170">
        <v>0</v>
      </c>
      <c r="AN44" s="270">
        <v>45</v>
      </c>
      <c r="AO44" s="170">
        <f t="shared" si="2"/>
        <v>9098.1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1" t="s">
        <v>44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134</v>
      </c>
      <c r="V45" s="115">
        <v>426</v>
      </c>
      <c r="W45" s="114">
        <v>43164</v>
      </c>
      <c r="X45" s="115" t="s">
        <v>141</v>
      </c>
      <c r="Y45" s="221">
        <v>43164</v>
      </c>
      <c r="Z45" s="115" t="s">
        <v>142</v>
      </c>
      <c r="AA45" s="221">
        <v>43230</v>
      </c>
      <c r="AB45" s="22">
        <v>0</v>
      </c>
      <c r="AC45" s="170">
        <v>0</v>
      </c>
      <c r="AD45" s="208">
        <v>50</v>
      </c>
      <c r="AE45" s="170">
        <v>10109</v>
      </c>
      <c r="AF45" s="208"/>
      <c r="AG45" s="170"/>
      <c r="AH45" s="208"/>
      <c r="AI45" s="170"/>
      <c r="AJ45" s="233">
        <f t="shared" si="6"/>
        <v>50</v>
      </c>
      <c r="AK45" s="170">
        <f t="shared" si="6"/>
        <v>10109</v>
      </c>
      <c r="AL45" s="270">
        <v>0</v>
      </c>
      <c r="AM45" s="170">
        <v>0</v>
      </c>
      <c r="AN45" s="270">
        <v>50</v>
      </c>
      <c r="AO45" s="170">
        <f t="shared" si="2"/>
        <v>10109</v>
      </c>
      <c r="AP45" s="233"/>
      <c r="AQ45" s="233"/>
      <c r="AR45" s="170">
        <v>202.18</v>
      </c>
      <c r="AS45" s="170">
        <f t="shared" si="3"/>
        <v>0</v>
      </c>
      <c r="AT45" s="233">
        <v>0</v>
      </c>
      <c r="AU45" s="386">
        <f t="shared" si="4"/>
        <v>0</v>
      </c>
      <c r="AV45" s="233">
        <f t="shared" si="5"/>
        <v>0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134</v>
      </c>
      <c r="V46" s="115">
        <v>260</v>
      </c>
      <c r="W46" s="114">
        <v>43145</v>
      </c>
      <c r="X46" s="115" t="s">
        <v>94</v>
      </c>
      <c r="Y46" s="221">
        <v>43164</v>
      </c>
      <c r="Z46" s="115"/>
      <c r="AA46" s="115"/>
      <c r="AB46" s="22">
        <v>0</v>
      </c>
      <c r="AC46" s="170">
        <v>0</v>
      </c>
      <c r="AD46" s="208">
        <v>110</v>
      </c>
      <c r="AE46" s="170">
        <v>22239.8</v>
      </c>
      <c r="AF46" s="208"/>
      <c r="AG46" s="170"/>
      <c r="AH46" s="208"/>
      <c r="AI46" s="170"/>
      <c r="AJ46" s="233">
        <f t="shared" si="6"/>
        <v>110</v>
      </c>
      <c r="AK46" s="170">
        <f t="shared" si="6"/>
        <v>22239.8</v>
      </c>
      <c r="AL46" s="270">
        <v>0</v>
      </c>
      <c r="AM46" s="170">
        <v>0</v>
      </c>
      <c r="AN46" s="270">
        <v>110</v>
      </c>
      <c r="AO46" s="170">
        <f t="shared" si="2"/>
        <v>22239.8</v>
      </c>
      <c r="AP46" s="233"/>
      <c r="AQ46" s="233"/>
      <c r="AR46" s="170">
        <v>202.18</v>
      </c>
      <c r="AS46" s="170">
        <f t="shared" si="3"/>
        <v>0</v>
      </c>
      <c r="AT46" s="233">
        <f>25-25</f>
        <v>0</v>
      </c>
      <c r="AU46" s="386">
        <f t="shared" si="4"/>
        <v>0</v>
      </c>
      <c r="AV46" s="233">
        <f t="shared" si="5"/>
        <v>0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150</v>
      </c>
      <c r="V47" s="115">
        <v>546</v>
      </c>
      <c r="W47" s="114">
        <v>43182</v>
      </c>
      <c r="X47" s="115" t="s">
        <v>149</v>
      </c>
      <c r="Y47" s="221">
        <v>43201</v>
      </c>
      <c r="Z47" s="115" t="s">
        <v>147</v>
      </c>
      <c r="AA47" s="221">
        <v>43252</v>
      </c>
      <c r="AB47" s="22">
        <v>0</v>
      </c>
      <c r="AC47" s="170">
        <v>0</v>
      </c>
      <c r="AD47" s="208">
        <v>105</v>
      </c>
      <c r="AE47" s="170">
        <v>21228.9</v>
      </c>
      <c r="AF47" s="208"/>
      <c r="AG47" s="170"/>
      <c r="AH47" s="208"/>
      <c r="AI47" s="170"/>
      <c r="AJ47" s="233">
        <f t="shared" si="6"/>
        <v>105</v>
      </c>
      <c r="AK47" s="170">
        <f t="shared" si="6"/>
        <v>21228.9</v>
      </c>
      <c r="AL47" s="270">
        <v>0</v>
      </c>
      <c r="AM47" s="170">
        <v>0</v>
      </c>
      <c r="AN47" s="270">
        <v>105</v>
      </c>
      <c r="AO47" s="170">
        <f t="shared" si="2"/>
        <v>21228.9</v>
      </c>
      <c r="AP47" s="233"/>
      <c r="AQ47" s="233"/>
      <c r="AR47" s="170">
        <v>202.18</v>
      </c>
      <c r="AS47" s="170">
        <f t="shared" si="3"/>
        <v>0</v>
      </c>
      <c r="AT47" s="233">
        <f>105-105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150</v>
      </c>
      <c r="V48" s="115">
        <v>659</v>
      </c>
      <c r="W48" s="114">
        <v>43201</v>
      </c>
      <c r="X48" s="115" t="s">
        <v>159</v>
      </c>
      <c r="Y48" s="221">
        <v>43213</v>
      </c>
      <c r="Z48" s="115" t="s">
        <v>160</v>
      </c>
      <c r="AA48" s="221">
        <v>43255</v>
      </c>
      <c r="AB48" s="22">
        <v>0</v>
      </c>
      <c r="AC48" s="170">
        <v>0</v>
      </c>
      <c r="AD48" s="208">
        <v>80</v>
      </c>
      <c r="AE48" s="170">
        <v>16174.4</v>
      </c>
      <c r="AF48" s="208"/>
      <c r="AG48" s="170"/>
      <c r="AH48" s="208"/>
      <c r="AI48" s="170"/>
      <c r="AJ48" s="233">
        <f t="shared" si="6"/>
        <v>80</v>
      </c>
      <c r="AK48" s="170">
        <f t="shared" si="6"/>
        <v>16174.4</v>
      </c>
      <c r="AL48" s="270">
        <v>0</v>
      </c>
      <c r="AM48" s="170">
        <v>0</v>
      </c>
      <c r="AN48" s="270">
        <v>80</v>
      </c>
      <c r="AO48" s="170">
        <f t="shared" si="2"/>
        <v>16174.4</v>
      </c>
      <c r="AP48" s="233"/>
      <c r="AQ48" s="233"/>
      <c r="AR48" s="170">
        <v>202.18</v>
      </c>
      <c r="AS48" s="170">
        <f t="shared" si="3"/>
        <v>0</v>
      </c>
      <c r="AT48" s="233">
        <f>80-80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169</v>
      </c>
      <c r="V49" s="115">
        <v>834</v>
      </c>
      <c r="W49" s="114">
        <v>43222</v>
      </c>
      <c r="X49" s="115" t="s">
        <v>162</v>
      </c>
      <c r="Y49" s="221">
        <v>43242</v>
      </c>
      <c r="Z49" s="115"/>
      <c r="AA49" s="115"/>
      <c r="AB49" s="35">
        <v>0</v>
      </c>
      <c r="AC49" s="170">
        <v>0</v>
      </c>
      <c r="AD49" s="208">
        <v>95</v>
      </c>
      <c r="AE49" s="170">
        <v>19207.099999999999</v>
      </c>
      <c r="AF49" s="208"/>
      <c r="AG49" s="170"/>
      <c r="AH49" s="208"/>
      <c r="AI49" s="170"/>
      <c r="AJ49" s="233">
        <f t="shared" si="6"/>
        <v>95</v>
      </c>
      <c r="AK49" s="170">
        <f t="shared" si="6"/>
        <v>19207.099999999999</v>
      </c>
      <c r="AL49" s="270">
        <v>0</v>
      </c>
      <c r="AM49" s="170">
        <v>0</v>
      </c>
      <c r="AN49" s="270">
        <v>95</v>
      </c>
      <c r="AO49" s="170">
        <f t="shared" si="2"/>
        <v>19207.099999999999</v>
      </c>
      <c r="AP49" s="233"/>
      <c r="AQ49" s="233"/>
      <c r="AR49" s="170">
        <v>202.18</v>
      </c>
      <c r="AS49" s="170">
        <f>AQ49*AR49</f>
        <v>0</v>
      </c>
      <c r="AT49" s="233">
        <f>95-45-50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1" t="s">
        <v>44</v>
      </c>
      <c r="G50" s="275" t="s">
        <v>116</v>
      </c>
      <c r="H50" s="115" t="s">
        <v>91</v>
      </c>
      <c r="I50" s="115" t="s">
        <v>91</v>
      </c>
      <c r="J50" s="115"/>
      <c r="K50" s="115"/>
      <c r="L50" s="276"/>
      <c r="M50" s="277">
        <f t="shared" si="0"/>
        <v>0</v>
      </c>
      <c r="N50" s="276">
        <f t="shared" si="1"/>
        <v>0</v>
      </c>
      <c r="O50" s="115"/>
      <c r="P50" s="276"/>
      <c r="Q50" s="115"/>
      <c r="R50" s="276"/>
      <c r="S50" s="115"/>
      <c r="T50" s="276"/>
      <c r="U50" s="278" t="s">
        <v>180</v>
      </c>
      <c r="V50" s="115">
        <v>1006</v>
      </c>
      <c r="W50" s="114">
        <v>43244</v>
      </c>
      <c r="X50" s="115" t="s">
        <v>179</v>
      </c>
      <c r="Y50" s="221">
        <v>43285</v>
      </c>
      <c r="Z50" s="115"/>
      <c r="AA50" s="115"/>
      <c r="AB50" s="35">
        <v>0</v>
      </c>
      <c r="AC50" s="170">
        <v>0</v>
      </c>
      <c r="AD50" s="208">
        <v>20</v>
      </c>
      <c r="AE50" s="170">
        <v>3920</v>
      </c>
      <c r="AF50" s="208"/>
      <c r="AG50" s="170"/>
      <c r="AH50" s="208"/>
      <c r="AI50" s="170"/>
      <c r="AJ50" s="233">
        <f t="shared" si="6"/>
        <v>20</v>
      </c>
      <c r="AK50" s="170">
        <f t="shared" si="6"/>
        <v>3920</v>
      </c>
      <c r="AL50" s="270">
        <v>0</v>
      </c>
      <c r="AM50" s="170">
        <v>0</v>
      </c>
      <c r="AN50" s="270">
        <v>20</v>
      </c>
      <c r="AO50" s="170">
        <f t="shared" si="2"/>
        <v>3920</v>
      </c>
      <c r="AP50" s="233"/>
      <c r="AQ50" s="233"/>
      <c r="AR50" s="170">
        <v>196</v>
      </c>
      <c r="AS50" s="170">
        <f t="shared" si="3"/>
        <v>0</v>
      </c>
      <c r="AT50" s="233">
        <f>20-20</f>
        <v>0</v>
      </c>
      <c r="AU50" s="386">
        <f t="shared" si="4"/>
        <v>0</v>
      </c>
      <c r="AV50" s="233">
        <f t="shared" si="5"/>
        <v>0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176</v>
      </c>
      <c r="V51" s="115">
        <v>877</v>
      </c>
      <c r="W51" s="114">
        <v>43230</v>
      </c>
      <c r="X51" s="193" t="s">
        <v>174</v>
      </c>
      <c r="Y51" s="200">
        <v>43285</v>
      </c>
      <c r="Z51" s="193"/>
      <c r="AA51" s="193"/>
      <c r="AB51" s="35">
        <v>0</v>
      </c>
      <c r="AC51" s="170">
        <v>0</v>
      </c>
      <c r="AD51" s="209">
        <v>225</v>
      </c>
      <c r="AE51" s="194">
        <v>45490.5</v>
      </c>
      <c r="AF51" s="209"/>
      <c r="AG51" s="194"/>
      <c r="AH51" s="209"/>
      <c r="AI51" s="194"/>
      <c r="AJ51" s="233">
        <f t="shared" si="6"/>
        <v>225</v>
      </c>
      <c r="AK51" s="170">
        <f t="shared" si="6"/>
        <v>45490.5</v>
      </c>
      <c r="AL51" s="272">
        <v>0</v>
      </c>
      <c r="AM51" s="212">
        <v>0</v>
      </c>
      <c r="AN51" s="269">
        <v>225</v>
      </c>
      <c r="AO51" s="217">
        <f t="shared" si="2"/>
        <v>45490.5</v>
      </c>
      <c r="AP51" s="232"/>
      <c r="AQ51" s="229"/>
      <c r="AR51" s="212">
        <v>202.18</v>
      </c>
      <c r="AS51" s="212">
        <f t="shared" si="3"/>
        <v>0</v>
      </c>
      <c r="AT51" s="261">
        <f>225-130-95</f>
        <v>0</v>
      </c>
      <c r="AU51" s="228">
        <f t="shared" si="4"/>
        <v>0</v>
      </c>
      <c r="AV51" s="279">
        <f t="shared" si="5"/>
        <v>0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149" t="s">
        <v>44</v>
      </c>
      <c r="G52" s="222" t="s">
        <v>116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186</v>
      </c>
      <c r="V52" s="115">
        <v>1418</v>
      </c>
      <c r="W52" s="114">
        <v>43312</v>
      </c>
      <c r="X52" s="193" t="s">
        <v>184</v>
      </c>
      <c r="Y52" s="200">
        <v>43332</v>
      </c>
      <c r="Z52" s="193" t="s">
        <v>185</v>
      </c>
      <c r="AA52" s="200">
        <v>43320</v>
      </c>
      <c r="AB52" s="22">
        <v>0</v>
      </c>
      <c r="AC52" s="170">
        <v>0</v>
      </c>
      <c r="AD52" s="209">
        <v>55</v>
      </c>
      <c r="AE52" s="194">
        <v>10780</v>
      </c>
      <c r="AF52" s="209"/>
      <c r="AG52" s="194"/>
      <c r="AH52" s="209"/>
      <c r="AI52" s="194"/>
      <c r="AJ52" s="233">
        <f t="shared" si="6"/>
        <v>55</v>
      </c>
      <c r="AK52" s="170">
        <f t="shared" si="6"/>
        <v>10780</v>
      </c>
      <c r="AL52" s="272">
        <v>0</v>
      </c>
      <c r="AM52" s="212">
        <v>0</v>
      </c>
      <c r="AN52" s="269">
        <v>55</v>
      </c>
      <c r="AO52" s="217">
        <v>0</v>
      </c>
      <c r="AP52" s="232"/>
      <c r="AQ52" s="229"/>
      <c r="AR52" s="212">
        <v>196</v>
      </c>
      <c r="AS52" s="212">
        <f t="shared" si="3"/>
        <v>0</v>
      </c>
      <c r="AT52" s="261">
        <f>55-15</f>
        <v>40</v>
      </c>
      <c r="AU52" s="228">
        <f t="shared" si="4"/>
        <v>7840</v>
      </c>
      <c r="AV52" s="279">
        <f t="shared" si="5"/>
        <v>40</v>
      </c>
    </row>
    <row r="53" spans="1:48" s="62" customFormat="1" ht="26.25" customHeight="1">
      <c r="A53" s="59"/>
      <c r="B53" s="60"/>
      <c r="C53" s="60"/>
      <c r="D53" s="22"/>
      <c r="E53" s="79"/>
      <c r="F53" s="149" t="s">
        <v>44</v>
      </c>
      <c r="G53" s="222" t="s">
        <v>116</v>
      </c>
      <c r="H53" s="193"/>
      <c r="I53" s="193"/>
      <c r="J53" s="193"/>
      <c r="K53" s="193"/>
      <c r="L53" s="243"/>
      <c r="M53" s="242"/>
      <c r="N53" s="243"/>
      <c r="O53" s="193"/>
      <c r="P53" s="243"/>
      <c r="Q53" s="193"/>
      <c r="R53" s="243"/>
      <c r="S53" s="193"/>
      <c r="T53" s="243"/>
      <c r="U53" s="203"/>
      <c r="V53" s="115"/>
      <c r="W53" s="114"/>
      <c r="X53" s="193"/>
      <c r="Y53" s="200"/>
      <c r="Z53" s="193"/>
      <c r="AA53" s="200"/>
      <c r="AB53" s="22"/>
      <c r="AC53" s="170"/>
      <c r="AD53" s="209"/>
      <c r="AE53" s="194"/>
      <c r="AF53" s="209"/>
      <c r="AG53" s="194"/>
      <c r="AH53" s="209"/>
      <c r="AI53" s="194"/>
      <c r="AJ53" s="233">
        <v>15</v>
      </c>
      <c r="AK53" s="170"/>
      <c r="AL53" s="272"/>
      <c r="AM53" s="212"/>
      <c r="AN53" s="269"/>
      <c r="AO53" s="217"/>
      <c r="AP53" s="232"/>
      <c r="AQ53" s="229"/>
      <c r="AR53" s="212"/>
      <c r="AS53" s="212"/>
      <c r="AT53" s="227">
        <v>15</v>
      </c>
      <c r="AU53" s="228"/>
      <c r="AV53" s="279">
        <v>15</v>
      </c>
    </row>
    <row r="54" spans="1:48" s="62" customFormat="1" ht="27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1625</v>
      </c>
      <c r="W54" s="114">
        <v>43087</v>
      </c>
      <c r="X54" s="115" t="s">
        <v>109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5</v>
      </c>
      <c r="AE54" s="170">
        <v>1010.9</v>
      </c>
      <c r="AF54" s="208"/>
      <c r="AG54" s="170"/>
      <c r="AH54" s="208"/>
      <c r="AI54" s="170"/>
      <c r="AJ54" s="233">
        <f t="shared" si="6"/>
        <v>5</v>
      </c>
      <c r="AK54" s="170">
        <f t="shared" si="6"/>
        <v>1010.9</v>
      </c>
      <c r="AL54" s="270">
        <v>5</v>
      </c>
      <c r="AM54" s="170">
        <v>1010.9</v>
      </c>
      <c r="AN54" s="270">
        <v>0</v>
      </c>
      <c r="AO54" s="170">
        <f t="shared" si="2"/>
        <v>0</v>
      </c>
      <c r="AP54" s="233"/>
      <c r="AQ54" s="233"/>
      <c r="AR54" s="170"/>
      <c r="AS54" s="170">
        <f t="shared" si="3"/>
        <v>0</v>
      </c>
      <c r="AT54" s="208">
        <v>0</v>
      </c>
      <c r="AU54" s="170">
        <f t="shared" si="4"/>
        <v>0</v>
      </c>
      <c r="AV54" s="233">
        <f t="shared" si="5"/>
        <v>0</v>
      </c>
    </row>
    <row r="55" spans="1:48" s="62" customFormat="1" ht="27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>
        <v>2016</v>
      </c>
      <c r="K55" s="115">
        <v>2</v>
      </c>
      <c r="L55" s="276">
        <v>199.06</v>
      </c>
      <c r="M55" s="277">
        <f t="shared" si="0"/>
        <v>4032</v>
      </c>
      <c r="N55" s="276">
        <f t="shared" si="1"/>
        <v>802609.92</v>
      </c>
      <c r="O55" s="115">
        <v>4130</v>
      </c>
      <c r="P55" s="276">
        <v>1054554.2</v>
      </c>
      <c r="Q55" s="115"/>
      <c r="R55" s="276"/>
      <c r="S55" s="115"/>
      <c r="T55" s="276"/>
      <c r="U55" s="278" t="s">
        <v>112</v>
      </c>
      <c r="V55" s="115">
        <v>1583</v>
      </c>
      <c r="W55" s="114">
        <v>43082</v>
      </c>
      <c r="X55" s="115" t="s">
        <v>113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490</v>
      </c>
      <c r="AE55" s="170">
        <v>99068.2</v>
      </c>
      <c r="AF55" s="208"/>
      <c r="AG55" s="170"/>
      <c r="AH55" s="208"/>
      <c r="AI55" s="170"/>
      <c r="AJ55" s="233">
        <f t="shared" si="6"/>
        <v>490</v>
      </c>
      <c r="AK55" s="170">
        <f t="shared" si="6"/>
        <v>99068.2</v>
      </c>
      <c r="AL55" s="270">
        <f>135+130+130</f>
        <v>395</v>
      </c>
      <c r="AM55" s="170">
        <f>AL55*AR55</f>
        <v>79861.100000000006</v>
      </c>
      <c r="AN55" s="270">
        <v>95</v>
      </c>
      <c r="AO55" s="170">
        <f t="shared" si="2"/>
        <v>19207.099999999991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f t="shared" si="5"/>
        <v>0</v>
      </c>
    </row>
    <row r="56" spans="1:48" s="62" customFormat="1" ht="27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112</v>
      </c>
      <c r="V56" s="115">
        <v>1745</v>
      </c>
      <c r="W56" s="114">
        <v>43096</v>
      </c>
      <c r="X56" s="115" t="s">
        <v>117</v>
      </c>
      <c r="Y56" s="221">
        <v>43109</v>
      </c>
      <c r="Z56" s="115" t="s">
        <v>118</v>
      </c>
      <c r="AA56" s="221">
        <v>43133</v>
      </c>
      <c r="AB56" s="22">
        <v>0</v>
      </c>
      <c r="AC56" s="170">
        <v>0</v>
      </c>
      <c r="AD56" s="208">
        <v>195</v>
      </c>
      <c r="AE56" s="170">
        <v>39425.1</v>
      </c>
      <c r="AF56" s="208"/>
      <c r="AG56" s="170"/>
      <c r="AH56" s="208"/>
      <c r="AI56" s="170"/>
      <c r="AJ56" s="233">
        <f t="shared" si="6"/>
        <v>195</v>
      </c>
      <c r="AK56" s="170">
        <f t="shared" si="6"/>
        <v>39425.1</v>
      </c>
      <c r="AL56" s="270">
        <v>0</v>
      </c>
      <c r="AM56" s="170">
        <v>0</v>
      </c>
      <c r="AN56" s="270">
        <v>195</v>
      </c>
      <c r="AO56" s="170">
        <f t="shared" si="2"/>
        <v>39425.1</v>
      </c>
      <c r="AP56" s="233"/>
      <c r="AQ56" s="233"/>
      <c r="AR56" s="170">
        <v>202.18</v>
      </c>
      <c r="AS56" s="170">
        <f t="shared" si="3"/>
        <v>0</v>
      </c>
      <c r="AT56" s="233">
        <f>160-140-20</f>
        <v>0</v>
      </c>
      <c r="AU56" s="386">
        <f t="shared" si="4"/>
        <v>0</v>
      </c>
      <c r="AV56" s="233">
        <f t="shared" si="5"/>
        <v>0</v>
      </c>
    </row>
    <row r="57" spans="1:48" s="62" customFormat="1" ht="26.25" customHeight="1">
      <c r="A57" s="59"/>
      <c r="B57" s="60"/>
      <c r="C57" s="60"/>
      <c r="D57" s="22"/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426</v>
      </c>
      <c r="W57" s="114">
        <v>43164</v>
      </c>
      <c r="X57" s="193" t="s">
        <v>141</v>
      </c>
      <c r="Y57" s="200">
        <v>43164</v>
      </c>
      <c r="Z57" s="193" t="s">
        <v>142</v>
      </c>
      <c r="AA57" s="200">
        <v>43230</v>
      </c>
      <c r="AB57" s="22">
        <v>0</v>
      </c>
      <c r="AC57" s="170">
        <v>0</v>
      </c>
      <c r="AD57" s="209">
        <v>170</v>
      </c>
      <c r="AE57" s="194">
        <v>34370.6</v>
      </c>
      <c r="AF57" s="209"/>
      <c r="AG57" s="194"/>
      <c r="AH57" s="209"/>
      <c r="AI57" s="194"/>
      <c r="AJ57" s="233">
        <f t="shared" si="6"/>
        <v>170</v>
      </c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61">
        <f>170-110-60</f>
        <v>0</v>
      </c>
      <c r="AU57" s="228">
        <f t="shared" si="4"/>
        <v>0</v>
      </c>
      <c r="AV57" s="279">
        <f t="shared" si="5"/>
        <v>0</v>
      </c>
    </row>
    <row r="58" spans="1:48" s="62" customFormat="1" ht="26.25" customHeight="1">
      <c r="A58" s="59"/>
      <c r="B58" s="60"/>
      <c r="C58" s="60"/>
      <c r="D58" s="22"/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320</v>
      </c>
      <c r="AE58" s="194">
        <v>64697.599999999999</v>
      </c>
      <c r="AF58" s="209"/>
      <c r="AG58" s="194"/>
      <c r="AH58" s="209"/>
      <c r="AI58" s="194"/>
      <c r="AJ58" s="233">
        <f t="shared" si="6"/>
        <v>320</v>
      </c>
      <c r="AK58" s="170">
        <f t="shared" si="6"/>
        <v>64697.599999999999</v>
      </c>
      <c r="AL58" s="272">
        <v>0</v>
      </c>
      <c r="AM58" s="212">
        <v>0</v>
      </c>
      <c r="AN58" s="269">
        <v>320</v>
      </c>
      <c r="AO58" s="217">
        <f t="shared" si="2"/>
        <v>64697.599999999999</v>
      </c>
      <c r="AP58" s="232"/>
      <c r="AQ58" s="229"/>
      <c r="AR58" s="212">
        <v>202.18</v>
      </c>
      <c r="AS58" s="212">
        <f t="shared" si="3"/>
        <v>0</v>
      </c>
      <c r="AT58" s="261">
        <f>320-70</f>
        <v>250</v>
      </c>
      <c r="AU58" s="228">
        <f t="shared" si="4"/>
        <v>50545</v>
      </c>
      <c r="AV58" s="279">
        <f t="shared" si="5"/>
        <v>250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132</v>
      </c>
      <c r="V59" s="115">
        <v>234</v>
      </c>
      <c r="W59" s="114">
        <v>43143</v>
      </c>
      <c r="X59" s="193" t="s">
        <v>143</v>
      </c>
      <c r="Y59" s="200">
        <v>43164</v>
      </c>
      <c r="Z59" s="193"/>
      <c r="AA59" s="193"/>
      <c r="AB59" s="22">
        <v>0</v>
      </c>
      <c r="AC59" s="170">
        <v>0</v>
      </c>
      <c r="AD59" s="209">
        <v>15</v>
      </c>
      <c r="AE59" s="194">
        <v>3032.7</v>
      </c>
      <c r="AF59" s="209"/>
      <c r="AG59" s="194"/>
      <c r="AH59" s="209"/>
      <c r="AI59" s="194"/>
      <c r="AJ59" s="233">
        <f t="shared" si="6"/>
        <v>15</v>
      </c>
      <c r="AK59" s="170">
        <f t="shared" si="6"/>
        <v>3032.7</v>
      </c>
      <c r="AL59" s="272">
        <v>0</v>
      </c>
      <c r="AM59" s="212">
        <v>0</v>
      </c>
      <c r="AN59" s="269">
        <v>15</v>
      </c>
      <c r="AO59" s="217">
        <f t="shared" si="2"/>
        <v>3032.7</v>
      </c>
      <c r="AP59" s="232"/>
      <c r="AQ59" s="229"/>
      <c r="AR59" s="212">
        <v>202.18</v>
      </c>
      <c r="AS59" s="212">
        <f t="shared" si="3"/>
        <v>0</v>
      </c>
      <c r="AT59" s="227">
        <v>15</v>
      </c>
      <c r="AU59" s="228">
        <f t="shared" si="4"/>
        <v>3032.7000000000003</v>
      </c>
      <c r="AV59" s="279">
        <f t="shared" si="5"/>
        <v>15</v>
      </c>
    </row>
    <row r="60" spans="1:48" s="62" customFormat="1" ht="27" customHeight="1">
      <c r="A60" s="59"/>
      <c r="B60" s="60"/>
      <c r="C60" s="60"/>
      <c r="D60" s="22"/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356</v>
      </c>
      <c r="W60" s="114">
        <v>43159</v>
      </c>
      <c r="X60" s="193" t="s">
        <v>136</v>
      </c>
      <c r="Y60" s="200">
        <v>43164</v>
      </c>
      <c r="Z60" s="193"/>
      <c r="AA60" s="193"/>
      <c r="AB60" s="22">
        <v>0</v>
      </c>
      <c r="AC60" s="170">
        <v>0</v>
      </c>
      <c r="AD60" s="209">
        <v>170</v>
      </c>
      <c r="AE60" s="194">
        <v>34370.6</v>
      </c>
      <c r="AF60" s="209"/>
      <c r="AG60" s="194"/>
      <c r="AH60" s="209"/>
      <c r="AI60" s="194"/>
      <c r="AJ60" s="233">
        <f t="shared" si="6"/>
        <v>170</v>
      </c>
      <c r="AK60" s="170">
        <f t="shared" si="6"/>
        <v>34370.6</v>
      </c>
      <c r="AL60" s="272">
        <v>0</v>
      </c>
      <c r="AM60" s="212">
        <v>0</v>
      </c>
      <c r="AN60" s="269">
        <v>170</v>
      </c>
      <c r="AO60" s="217">
        <f t="shared" si="2"/>
        <v>34370.6</v>
      </c>
      <c r="AP60" s="232"/>
      <c r="AQ60" s="229"/>
      <c r="AR60" s="212">
        <v>202.18</v>
      </c>
      <c r="AS60" s="212">
        <f t="shared" si="3"/>
        <v>0</v>
      </c>
      <c r="AT60" s="227">
        <v>170</v>
      </c>
      <c r="AU60" s="228">
        <f t="shared" si="4"/>
        <v>34370.6</v>
      </c>
      <c r="AV60" s="279">
        <f t="shared" si="5"/>
        <v>170</v>
      </c>
    </row>
    <row r="61" spans="1:48" s="62" customFormat="1" ht="27" customHeight="1">
      <c r="A61" s="59"/>
      <c r="B61" s="60"/>
      <c r="C61" s="60"/>
      <c r="D61" s="22"/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133</v>
      </c>
      <c r="V61" s="115">
        <v>260</v>
      </c>
      <c r="W61" s="114">
        <v>43145</v>
      </c>
      <c r="X61" s="193" t="s">
        <v>94</v>
      </c>
      <c r="Y61" s="200">
        <v>43164</v>
      </c>
      <c r="Z61" s="193"/>
      <c r="AA61" s="193"/>
      <c r="AB61" s="22">
        <v>0</v>
      </c>
      <c r="AC61" s="170">
        <v>0</v>
      </c>
      <c r="AD61" s="209">
        <v>665</v>
      </c>
      <c r="AE61" s="194">
        <v>134449.70000000001</v>
      </c>
      <c r="AF61" s="209"/>
      <c r="AG61" s="194"/>
      <c r="AH61" s="209"/>
      <c r="AI61" s="194"/>
      <c r="AJ61" s="233">
        <f t="shared" si="6"/>
        <v>665</v>
      </c>
      <c r="AK61" s="170">
        <f t="shared" si="6"/>
        <v>134449.70000000001</v>
      </c>
      <c r="AL61" s="272">
        <v>0</v>
      </c>
      <c r="AM61" s="212">
        <v>0</v>
      </c>
      <c r="AN61" s="269">
        <v>665</v>
      </c>
      <c r="AO61" s="217">
        <f t="shared" si="2"/>
        <v>134449.70000000001</v>
      </c>
      <c r="AP61" s="232"/>
      <c r="AQ61" s="229"/>
      <c r="AR61" s="212">
        <v>202.18</v>
      </c>
      <c r="AS61" s="212">
        <f t="shared" si="3"/>
        <v>0</v>
      </c>
      <c r="AT61" s="227">
        <v>665</v>
      </c>
      <c r="AU61" s="228">
        <f t="shared" si="4"/>
        <v>134449.70000000001</v>
      </c>
      <c r="AV61" s="279">
        <f t="shared" si="5"/>
        <v>665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68</v>
      </c>
      <c r="W62" s="114">
        <v>43116</v>
      </c>
      <c r="X62" s="193" t="s">
        <v>125</v>
      </c>
      <c r="Y62" s="200">
        <v>43130</v>
      </c>
      <c r="Z62" s="193"/>
      <c r="AA62" s="193"/>
      <c r="AB62" s="22">
        <v>0</v>
      </c>
      <c r="AC62" s="170">
        <v>0</v>
      </c>
      <c r="AD62" s="209">
        <v>335</v>
      </c>
      <c r="AE62" s="194">
        <v>67730.3</v>
      </c>
      <c r="AF62" s="209"/>
      <c r="AG62" s="194"/>
      <c r="AH62" s="209"/>
      <c r="AI62" s="194"/>
      <c r="AJ62" s="233">
        <f t="shared" si="6"/>
        <v>335</v>
      </c>
      <c r="AK62" s="170">
        <f t="shared" si="6"/>
        <v>67730.3</v>
      </c>
      <c r="AL62" s="272">
        <v>0</v>
      </c>
      <c r="AM62" s="212">
        <v>0</v>
      </c>
      <c r="AN62" s="269">
        <v>335</v>
      </c>
      <c r="AO62" s="217">
        <f t="shared" si="2"/>
        <v>67730.3</v>
      </c>
      <c r="AP62" s="232"/>
      <c r="AQ62" s="229"/>
      <c r="AR62" s="212">
        <v>202.18</v>
      </c>
      <c r="AS62" s="212">
        <f t="shared" si="3"/>
        <v>0</v>
      </c>
      <c r="AT62" s="227">
        <v>335</v>
      </c>
      <c r="AU62" s="228">
        <f t="shared" si="4"/>
        <v>67730.3</v>
      </c>
      <c r="AV62" s="279">
        <f t="shared" si="5"/>
        <v>335</v>
      </c>
    </row>
    <row r="63" spans="1:48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124</v>
      </c>
      <c r="V63" s="115">
        <v>135</v>
      </c>
      <c r="W63" s="114">
        <v>42761</v>
      </c>
      <c r="X63" s="193" t="s">
        <v>126</v>
      </c>
      <c r="Y63" s="200">
        <v>43130</v>
      </c>
      <c r="Z63" s="193"/>
      <c r="AA63" s="193"/>
      <c r="AB63" s="22">
        <v>0</v>
      </c>
      <c r="AC63" s="170">
        <v>0</v>
      </c>
      <c r="AD63" s="209">
        <v>155</v>
      </c>
      <c r="AE63" s="194">
        <v>31337.9</v>
      </c>
      <c r="AF63" s="209"/>
      <c r="AG63" s="194"/>
      <c r="AH63" s="209"/>
      <c r="AI63" s="194"/>
      <c r="AJ63" s="233">
        <f t="shared" si="6"/>
        <v>155</v>
      </c>
      <c r="AK63" s="170">
        <f t="shared" si="6"/>
        <v>31337.9</v>
      </c>
      <c r="AL63" s="272">
        <v>0</v>
      </c>
      <c r="AM63" s="212">
        <v>0</v>
      </c>
      <c r="AN63" s="269">
        <v>155</v>
      </c>
      <c r="AO63" s="217">
        <f t="shared" si="2"/>
        <v>31337.9</v>
      </c>
      <c r="AP63" s="232"/>
      <c r="AQ63" s="229"/>
      <c r="AR63" s="212">
        <v>202.18</v>
      </c>
      <c r="AS63" s="212">
        <f t="shared" si="3"/>
        <v>0</v>
      </c>
      <c r="AT63" s="227">
        <v>155</v>
      </c>
      <c r="AU63" s="228">
        <f t="shared" si="4"/>
        <v>31337.9</v>
      </c>
      <c r="AV63" s="279">
        <f t="shared" si="5"/>
        <v>155</v>
      </c>
    </row>
    <row r="64" spans="1:48" s="62" customFormat="1" ht="26.25" customHeight="1">
      <c r="A64" s="59"/>
      <c r="B64" s="60"/>
      <c r="C64" s="60"/>
      <c r="D64" s="22"/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132</v>
      </c>
      <c r="V64" s="115">
        <v>108</v>
      </c>
      <c r="W64" s="114">
        <v>43119</v>
      </c>
      <c r="X64" s="193" t="s">
        <v>131</v>
      </c>
      <c r="Y64" s="200">
        <v>43130</v>
      </c>
      <c r="Z64" s="193"/>
      <c r="AA64" s="193"/>
      <c r="AB64" s="22">
        <v>0</v>
      </c>
      <c r="AC64" s="170">
        <v>0</v>
      </c>
      <c r="AD64" s="209">
        <v>340</v>
      </c>
      <c r="AE64" s="194">
        <v>68741.2</v>
      </c>
      <c r="AF64" s="209"/>
      <c r="AG64" s="194"/>
      <c r="AH64" s="209"/>
      <c r="AI64" s="194"/>
      <c r="AJ64" s="233">
        <f t="shared" si="6"/>
        <v>340</v>
      </c>
      <c r="AK64" s="170">
        <f t="shared" si="6"/>
        <v>68741.2</v>
      </c>
      <c r="AL64" s="272">
        <v>0</v>
      </c>
      <c r="AM64" s="212">
        <v>0</v>
      </c>
      <c r="AN64" s="269">
        <v>340</v>
      </c>
      <c r="AO64" s="217">
        <f t="shared" si="2"/>
        <v>68741.2</v>
      </c>
      <c r="AP64" s="232"/>
      <c r="AQ64" s="229"/>
      <c r="AR64" s="212">
        <v>202.18</v>
      </c>
      <c r="AS64" s="212">
        <f t="shared" si="3"/>
        <v>0</v>
      </c>
      <c r="AT64" s="227">
        <v>340</v>
      </c>
      <c r="AU64" s="228">
        <f t="shared" si="4"/>
        <v>68741.2</v>
      </c>
      <c r="AV64" s="279">
        <f t="shared" si="5"/>
        <v>340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659</v>
      </c>
      <c r="W65" s="114">
        <v>43201</v>
      </c>
      <c r="X65" s="193" t="s">
        <v>159</v>
      </c>
      <c r="Y65" s="200">
        <v>43213</v>
      </c>
      <c r="Z65" s="193" t="s">
        <v>160</v>
      </c>
      <c r="AA65" s="200">
        <v>43255</v>
      </c>
      <c r="AB65" s="22">
        <v>0</v>
      </c>
      <c r="AC65" s="170">
        <v>0</v>
      </c>
      <c r="AD65" s="209">
        <v>245</v>
      </c>
      <c r="AE65" s="194">
        <v>49534.1</v>
      </c>
      <c r="AF65" s="209"/>
      <c r="AG65" s="194"/>
      <c r="AH65" s="209"/>
      <c r="AI65" s="194"/>
      <c r="AJ65" s="233">
        <f t="shared" si="6"/>
        <v>245</v>
      </c>
      <c r="AK65" s="170">
        <f t="shared" si="6"/>
        <v>49534.1</v>
      </c>
      <c r="AL65" s="272">
        <v>0</v>
      </c>
      <c r="AM65" s="212">
        <v>0</v>
      </c>
      <c r="AN65" s="269">
        <v>245</v>
      </c>
      <c r="AO65" s="217">
        <f t="shared" si="2"/>
        <v>49534.1</v>
      </c>
      <c r="AP65" s="232"/>
      <c r="AQ65" s="229"/>
      <c r="AR65" s="212">
        <v>202.18</v>
      </c>
      <c r="AS65" s="212">
        <f t="shared" si="3"/>
        <v>0</v>
      </c>
      <c r="AT65" s="227">
        <v>245</v>
      </c>
      <c r="AU65" s="228">
        <f t="shared" si="4"/>
        <v>49534.1</v>
      </c>
      <c r="AV65" s="279">
        <f t="shared" si="5"/>
        <v>245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834</v>
      </c>
      <c r="W66" s="114">
        <v>43222</v>
      </c>
      <c r="X66" s="193" t="s">
        <v>162</v>
      </c>
      <c r="Y66" s="200">
        <v>43242</v>
      </c>
      <c r="Z66" s="193"/>
      <c r="AA66" s="193"/>
      <c r="AB66" s="22">
        <v>0</v>
      </c>
      <c r="AC66" s="170">
        <v>0</v>
      </c>
      <c r="AD66" s="209">
        <v>555</v>
      </c>
      <c r="AE66" s="194">
        <v>112209.9</v>
      </c>
      <c r="AF66" s="209"/>
      <c r="AG66" s="194"/>
      <c r="AH66" s="209"/>
      <c r="AI66" s="194"/>
      <c r="AJ66" s="233">
        <f t="shared" si="6"/>
        <v>555</v>
      </c>
      <c r="AK66" s="170">
        <f t="shared" si="6"/>
        <v>112209.9</v>
      </c>
      <c r="AL66" s="272">
        <v>0</v>
      </c>
      <c r="AM66" s="212">
        <v>0</v>
      </c>
      <c r="AN66" s="269">
        <v>555</v>
      </c>
      <c r="AO66" s="217">
        <f t="shared" si="2"/>
        <v>112209.9</v>
      </c>
      <c r="AP66" s="232"/>
      <c r="AQ66" s="229"/>
      <c r="AR66" s="212">
        <v>202.18</v>
      </c>
      <c r="AS66" s="212">
        <f t="shared" si="3"/>
        <v>0</v>
      </c>
      <c r="AT66" s="227">
        <v>555</v>
      </c>
      <c r="AU66" s="228">
        <f t="shared" si="4"/>
        <v>112209.90000000001</v>
      </c>
      <c r="AV66" s="279">
        <f t="shared" si="5"/>
        <v>555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45</v>
      </c>
      <c r="AE67" s="194">
        <v>8820</v>
      </c>
      <c r="AF67" s="209"/>
      <c r="AG67" s="194"/>
      <c r="AH67" s="209"/>
      <c r="AI67" s="194"/>
      <c r="AJ67" s="233">
        <f t="shared" si="6"/>
        <v>45</v>
      </c>
      <c r="AK67" s="170">
        <f t="shared" si="6"/>
        <v>8820</v>
      </c>
      <c r="AL67" s="272">
        <v>0</v>
      </c>
      <c r="AM67" s="212">
        <v>0</v>
      </c>
      <c r="AN67" s="269">
        <v>45</v>
      </c>
      <c r="AO67" s="217">
        <f t="shared" si="2"/>
        <v>8820</v>
      </c>
      <c r="AP67" s="232"/>
      <c r="AQ67" s="229"/>
      <c r="AR67" s="212">
        <v>196</v>
      </c>
      <c r="AS67" s="212">
        <f t="shared" si="3"/>
        <v>0</v>
      </c>
      <c r="AT67" s="227">
        <v>45</v>
      </c>
      <c r="AU67" s="228">
        <f t="shared" si="4"/>
        <v>8820</v>
      </c>
      <c r="AV67" s="279">
        <f t="shared" si="5"/>
        <v>45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1006</v>
      </c>
      <c r="W68" s="114">
        <v>43244</v>
      </c>
      <c r="X68" s="193" t="s">
        <v>179</v>
      </c>
      <c r="Y68" s="200">
        <v>43285</v>
      </c>
      <c r="Z68" s="193"/>
      <c r="AA68" s="193"/>
      <c r="AB68" s="22">
        <v>0</v>
      </c>
      <c r="AC68" s="170">
        <v>0</v>
      </c>
      <c r="AD68" s="209">
        <v>55</v>
      </c>
      <c r="AE68" s="194">
        <v>11119.9</v>
      </c>
      <c r="AF68" s="209"/>
      <c r="AG68" s="194"/>
      <c r="AH68" s="209"/>
      <c r="AI68" s="194"/>
      <c r="AJ68" s="233">
        <f t="shared" si="6"/>
        <v>55</v>
      </c>
      <c r="AK68" s="170">
        <f t="shared" si="6"/>
        <v>11119.9</v>
      </c>
      <c r="AL68" s="272">
        <v>0</v>
      </c>
      <c r="AM68" s="212">
        <v>0</v>
      </c>
      <c r="AN68" s="269">
        <v>55</v>
      </c>
      <c r="AO68" s="217">
        <f t="shared" si="2"/>
        <v>11119.9</v>
      </c>
      <c r="AP68" s="232"/>
      <c r="AQ68" s="229"/>
      <c r="AR68" s="212">
        <v>202.18</v>
      </c>
      <c r="AS68" s="212">
        <f t="shared" si="3"/>
        <v>0</v>
      </c>
      <c r="AT68" s="227">
        <v>55</v>
      </c>
      <c r="AU68" s="228">
        <f t="shared" si="4"/>
        <v>11119.9</v>
      </c>
      <c r="AV68" s="279">
        <f t="shared" si="5"/>
        <v>55</v>
      </c>
    </row>
    <row r="69" spans="1:48" s="62" customFormat="1" ht="26.25" customHeight="1">
      <c r="A69" s="59"/>
      <c r="B69" s="60"/>
      <c r="C69" s="60"/>
      <c r="D69" s="22"/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175</v>
      </c>
      <c r="V69" s="115">
        <v>877</v>
      </c>
      <c r="W69" s="114">
        <v>43230</v>
      </c>
      <c r="X69" s="193" t="s">
        <v>174</v>
      </c>
      <c r="Y69" s="200">
        <v>43285</v>
      </c>
      <c r="Z69" s="193"/>
      <c r="AA69" s="193"/>
      <c r="AB69" s="22">
        <v>0</v>
      </c>
      <c r="AC69" s="170">
        <v>0</v>
      </c>
      <c r="AD69" s="209">
        <v>210</v>
      </c>
      <c r="AE69" s="194">
        <v>42457.8</v>
      </c>
      <c r="AF69" s="209"/>
      <c r="AG69" s="194"/>
      <c r="AH69" s="209"/>
      <c r="AI69" s="194"/>
      <c r="AJ69" s="233">
        <f t="shared" si="6"/>
        <v>210</v>
      </c>
      <c r="AK69" s="170">
        <f t="shared" si="6"/>
        <v>42457.8</v>
      </c>
      <c r="AL69" s="272">
        <v>0</v>
      </c>
      <c r="AM69" s="212">
        <v>0</v>
      </c>
      <c r="AN69" s="269">
        <v>210</v>
      </c>
      <c r="AO69" s="217">
        <f t="shared" si="2"/>
        <v>42457.8</v>
      </c>
      <c r="AP69" s="232"/>
      <c r="AQ69" s="229"/>
      <c r="AR69" s="212">
        <v>202.18</v>
      </c>
      <c r="AS69" s="212">
        <f t="shared" si="3"/>
        <v>0</v>
      </c>
      <c r="AT69" s="227">
        <v>210</v>
      </c>
      <c r="AU69" s="228">
        <f t="shared" si="4"/>
        <v>42457.8</v>
      </c>
      <c r="AV69" s="279">
        <f t="shared" si="5"/>
        <v>210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161</v>
      </c>
      <c r="V70" s="115">
        <v>1053</v>
      </c>
      <c r="W70" s="114">
        <v>43255</v>
      </c>
      <c r="X70" s="193" t="s">
        <v>177</v>
      </c>
      <c r="Y70" s="200">
        <v>43285</v>
      </c>
      <c r="Z70" s="193" t="s">
        <v>178</v>
      </c>
      <c r="AA70" s="200">
        <v>43269</v>
      </c>
      <c r="AB70" s="22">
        <v>0</v>
      </c>
      <c r="AC70" s="170">
        <v>0</v>
      </c>
      <c r="AD70" s="209">
        <v>105</v>
      </c>
      <c r="AE70" s="194">
        <v>21228.9</v>
      </c>
      <c r="AF70" s="209"/>
      <c r="AG70" s="194"/>
      <c r="AH70" s="209"/>
      <c r="AI70" s="194"/>
      <c r="AJ70" s="233">
        <f t="shared" si="6"/>
        <v>105</v>
      </c>
      <c r="AK70" s="170">
        <f t="shared" si="6"/>
        <v>21228.9</v>
      </c>
      <c r="AL70" s="272">
        <v>0</v>
      </c>
      <c r="AM70" s="212">
        <v>0</v>
      </c>
      <c r="AN70" s="269">
        <v>105</v>
      </c>
      <c r="AO70" s="217">
        <f t="shared" si="2"/>
        <v>21228.9</v>
      </c>
      <c r="AP70" s="232"/>
      <c r="AQ70" s="229"/>
      <c r="AR70" s="212">
        <v>202.18</v>
      </c>
      <c r="AS70" s="212">
        <f t="shared" si="3"/>
        <v>0</v>
      </c>
      <c r="AT70" s="227">
        <v>105</v>
      </c>
      <c r="AU70" s="228">
        <f t="shared" si="4"/>
        <v>21228.9</v>
      </c>
      <c r="AV70" s="279">
        <f t="shared" si="5"/>
        <v>105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187</v>
      </c>
      <c r="V71" s="115">
        <v>1418</v>
      </c>
      <c r="W71" s="114">
        <v>43312</v>
      </c>
      <c r="X71" s="193" t="s">
        <v>184</v>
      </c>
      <c r="Y71" s="200">
        <v>43332</v>
      </c>
      <c r="Z71" s="193" t="s">
        <v>185</v>
      </c>
      <c r="AA71" s="200">
        <v>43320</v>
      </c>
      <c r="AB71" s="22">
        <v>0</v>
      </c>
      <c r="AC71" s="170">
        <v>0</v>
      </c>
      <c r="AD71" s="209">
        <v>30</v>
      </c>
      <c r="AE71" s="194">
        <v>5880</v>
      </c>
      <c r="AF71" s="209"/>
      <c r="AG71" s="194"/>
      <c r="AH71" s="209"/>
      <c r="AI71" s="194"/>
      <c r="AJ71" s="233">
        <f t="shared" si="6"/>
        <v>30</v>
      </c>
      <c r="AK71" s="170">
        <f t="shared" si="6"/>
        <v>5880</v>
      </c>
      <c r="AL71" s="272">
        <v>0</v>
      </c>
      <c r="AM71" s="212">
        <v>0</v>
      </c>
      <c r="AN71" s="269">
        <v>30</v>
      </c>
      <c r="AO71" s="217">
        <v>0</v>
      </c>
      <c r="AP71" s="232"/>
      <c r="AQ71" s="229"/>
      <c r="AR71" s="212">
        <v>196</v>
      </c>
      <c r="AS71" s="212">
        <f t="shared" si="3"/>
        <v>0</v>
      </c>
      <c r="AT71" s="227">
        <v>30</v>
      </c>
      <c r="AU71" s="228">
        <f t="shared" si="4"/>
        <v>5880</v>
      </c>
      <c r="AV71" s="279">
        <f t="shared" si="5"/>
        <v>30</v>
      </c>
    </row>
    <row r="72" spans="1:48" s="62" customFormat="1" ht="26.25" customHeight="1">
      <c r="A72" s="59"/>
      <c r="B72" s="60"/>
      <c r="C72" s="60"/>
      <c r="D72" s="22"/>
      <c r="E72" s="79"/>
      <c r="F72" s="53" t="s">
        <v>65</v>
      </c>
      <c r="G72" s="222" t="s">
        <v>111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/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3">
        <v>30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30</v>
      </c>
      <c r="AU72" s="228"/>
      <c r="AV72" s="279">
        <f t="shared" si="5"/>
        <v>30</v>
      </c>
    </row>
    <row r="73" spans="1:48" s="62" customFormat="1" ht="26.25" customHeight="1">
      <c r="A73" s="59"/>
      <c r="B73" s="60"/>
      <c r="C73" s="60"/>
      <c r="D73" s="22"/>
      <c r="E73" s="79" t="s">
        <v>24</v>
      </c>
      <c r="F73" s="51" t="s">
        <v>249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>
        <v>250</v>
      </c>
      <c r="P73" s="276">
        <v>66042.58</v>
      </c>
      <c r="Q73" s="115"/>
      <c r="R73" s="276"/>
      <c r="S73" s="115"/>
      <c r="T73" s="276"/>
      <c r="U73" s="278" t="s">
        <v>181</v>
      </c>
      <c r="V73" s="115">
        <v>1405</v>
      </c>
      <c r="W73" s="114">
        <v>43052</v>
      </c>
      <c r="X73" s="115" t="s">
        <v>182</v>
      </c>
      <c r="Y73" s="221">
        <v>43201</v>
      </c>
      <c r="Z73" s="115"/>
      <c r="AA73" s="115"/>
      <c r="AB73" s="22">
        <v>0</v>
      </c>
      <c r="AC73" s="170">
        <v>0</v>
      </c>
      <c r="AD73" s="208">
        <v>125</v>
      </c>
      <c r="AE73" s="170">
        <v>26255</v>
      </c>
      <c r="AF73" s="208"/>
      <c r="AG73" s="170"/>
      <c r="AH73" s="208"/>
      <c r="AI73" s="170"/>
      <c r="AJ73" s="233">
        <f t="shared" si="6"/>
        <v>125</v>
      </c>
      <c r="AK73" s="170">
        <f t="shared" si="6"/>
        <v>26255</v>
      </c>
      <c r="AL73" s="270">
        <f>63+62</f>
        <v>125</v>
      </c>
      <c r="AM73" s="170">
        <v>26255</v>
      </c>
      <c r="AN73" s="270">
        <v>0</v>
      </c>
      <c r="AO73" s="170">
        <f t="shared" si="2"/>
        <v>0</v>
      </c>
      <c r="AP73" s="233"/>
      <c r="AQ73" s="233"/>
      <c r="AR73" s="170">
        <v>210.04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145</v>
      </c>
      <c r="V74" s="115">
        <v>1381</v>
      </c>
      <c r="W74" s="114">
        <v>43047</v>
      </c>
      <c r="X74" s="115" t="s">
        <v>144</v>
      </c>
      <c r="Y74" s="221">
        <v>43201</v>
      </c>
      <c r="Z74" s="115"/>
      <c r="AA74" s="115"/>
      <c r="AB74" s="22">
        <v>0</v>
      </c>
      <c r="AC74" s="170">
        <v>0</v>
      </c>
      <c r="AD74" s="208">
        <v>80</v>
      </c>
      <c r="AE74" s="170">
        <v>16803.2</v>
      </c>
      <c r="AF74" s="208"/>
      <c r="AG74" s="170"/>
      <c r="AH74" s="208"/>
      <c r="AI74" s="170"/>
      <c r="AJ74" s="233">
        <f t="shared" si="6"/>
        <v>80</v>
      </c>
      <c r="AK74" s="170">
        <f t="shared" si="6"/>
        <v>16803.2</v>
      </c>
      <c r="AL74" s="270">
        <v>80</v>
      </c>
      <c r="AM74" s="170">
        <v>16803.2</v>
      </c>
      <c r="AN74" s="270">
        <v>0</v>
      </c>
      <c r="AO74" s="170">
        <f t="shared" si="2"/>
        <v>0</v>
      </c>
      <c r="AP74" s="233"/>
      <c r="AQ74" s="233"/>
      <c r="AR74" s="170">
        <f>AM74/AL74</f>
        <v>210.04000000000002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148</v>
      </c>
      <c r="V75" s="115">
        <v>546</v>
      </c>
      <c r="W75" s="114">
        <v>43182</v>
      </c>
      <c r="X75" s="115" t="s">
        <v>149</v>
      </c>
      <c r="Y75" s="221">
        <v>43201</v>
      </c>
      <c r="Z75" s="115" t="s">
        <v>147</v>
      </c>
      <c r="AA75" s="221">
        <v>43252</v>
      </c>
      <c r="AB75" s="22">
        <v>0</v>
      </c>
      <c r="AC75" s="170">
        <v>0</v>
      </c>
      <c r="AD75" s="208">
        <v>10</v>
      </c>
      <c r="AE75" s="170">
        <v>2038.7</v>
      </c>
      <c r="AF75" s="208"/>
      <c r="AG75" s="170"/>
      <c r="AH75" s="208"/>
      <c r="AI75" s="170"/>
      <c r="AJ75" s="233">
        <f t="shared" si="6"/>
        <v>10</v>
      </c>
      <c r="AK75" s="170">
        <f t="shared" si="6"/>
        <v>2038.7</v>
      </c>
      <c r="AL75" s="270">
        <v>10</v>
      </c>
      <c r="AM75" s="170">
        <v>2038.7</v>
      </c>
      <c r="AN75" s="270">
        <v>0</v>
      </c>
      <c r="AO75" s="170">
        <f t="shared" si="2"/>
        <v>0</v>
      </c>
      <c r="AP75" s="233"/>
      <c r="AQ75" s="233"/>
      <c r="AR75" s="170">
        <f>AM75/AL75</f>
        <v>203.87</v>
      </c>
      <c r="AS75" s="170">
        <f t="shared" si="3"/>
        <v>0</v>
      </c>
      <c r="AT75" s="208">
        <v>0</v>
      </c>
      <c r="AU75" s="170">
        <f t="shared" si="4"/>
        <v>0</v>
      </c>
      <c r="AV75" s="233">
        <f t="shared" si="5"/>
        <v>0</v>
      </c>
    </row>
    <row r="76" spans="1:48" s="62" customFormat="1" ht="26.25" customHeight="1">
      <c r="A76" s="59"/>
      <c r="B76" s="60"/>
      <c r="C76" s="60"/>
      <c r="D76" s="22"/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834</v>
      </c>
      <c r="W76" s="114">
        <v>43222</v>
      </c>
      <c r="X76" s="193" t="s">
        <v>162</v>
      </c>
      <c r="Y76" s="200">
        <v>43242</v>
      </c>
      <c r="Z76" s="193"/>
      <c r="AA76" s="193"/>
      <c r="AB76" s="22">
        <v>0</v>
      </c>
      <c r="AC76" s="170">
        <v>0</v>
      </c>
      <c r="AD76" s="209">
        <v>10</v>
      </c>
      <c r="AE76" s="194">
        <v>2100.4</v>
      </c>
      <c r="AF76" s="209"/>
      <c r="AG76" s="194"/>
      <c r="AH76" s="209"/>
      <c r="AI76" s="194"/>
      <c r="AJ76" s="233">
        <f t="shared" si="6"/>
        <v>10</v>
      </c>
      <c r="AK76" s="170">
        <f t="shared" si="6"/>
        <v>2100.4</v>
      </c>
      <c r="AL76" s="272">
        <v>0</v>
      </c>
      <c r="AM76" s="212">
        <v>0</v>
      </c>
      <c r="AN76" s="269">
        <v>10</v>
      </c>
      <c r="AO76" s="217">
        <f t="shared" si="2"/>
        <v>2100.4</v>
      </c>
      <c r="AP76" s="232"/>
      <c r="AQ76" s="229"/>
      <c r="AR76" s="212">
        <v>210.04</v>
      </c>
      <c r="AS76" s="212">
        <f t="shared" si="3"/>
        <v>0</v>
      </c>
      <c r="AT76" s="227">
        <v>10</v>
      </c>
      <c r="AU76" s="228">
        <f t="shared" si="4"/>
        <v>2100.4</v>
      </c>
      <c r="AV76" s="279">
        <f t="shared" si="5"/>
        <v>10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62" t="s">
        <v>68</v>
      </c>
      <c r="G77" s="222" t="s">
        <v>146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148</v>
      </c>
      <c r="V77" s="115">
        <v>1006</v>
      </c>
      <c r="W77" s="114">
        <v>43244</v>
      </c>
      <c r="X77" s="193" t="s">
        <v>179</v>
      </c>
      <c r="Y77" s="200">
        <v>43285</v>
      </c>
      <c r="Z77" s="193"/>
      <c r="AA77" s="193"/>
      <c r="AB77" s="22">
        <v>0</v>
      </c>
      <c r="AC77" s="170">
        <v>0</v>
      </c>
      <c r="AD77" s="209">
        <v>5</v>
      </c>
      <c r="AE77" s="194">
        <v>1019.35</v>
      </c>
      <c r="AF77" s="209"/>
      <c r="AG77" s="194"/>
      <c r="AH77" s="209"/>
      <c r="AI77" s="194"/>
      <c r="AJ77" s="233">
        <f t="shared" si="6"/>
        <v>5</v>
      </c>
      <c r="AK77" s="170">
        <f t="shared" si="6"/>
        <v>1019.35</v>
      </c>
      <c r="AL77" s="272">
        <v>0</v>
      </c>
      <c r="AM77" s="212">
        <v>0</v>
      </c>
      <c r="AN77" s="269">
        <v>5</v>
      </c>
      <c r="AO77" s="217">
        <f t="shared" si="2"/>
        <v>1019.35</v>
      </c>
      <c r="AP77" s="232"/>
      <c r="AQ77" s="229"/>
      <c r="AR77" s="212">
        <v>203.87</v>
      </c>
      <c r="AS77" s="212">
        <f t="shared" si="3"/>
        <v>0</v>
      </c>
      <c r="AT77" s="227">
        <v>5</v>
      </c>
      <c r="AU77" s="228">
        <f t="shared" si="4"/>
        <v>1019.35</v>
      </c>
      <c r="AV77" s="279">
        <f t="shared" si="5"/>
        <v>5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51" t="s">
        <v>247</v>
      </c>
      <c r="G78" s="275" t="s">
        <v>114</v>
      </c>
      <c r="H78" s="115" t="s">
        <v>91</v>
      </c>
      <c r="I78" s="115" t="s">
        <v>91</v>
      </c>
      <c r="J78" s="115">
        <v>360</v>
      </c>
      <c r="K78" s="115">
        <v>1</v>
      </c>
      <c r="L78" s="276">
        <v>303.16000000000003</v>
      </c>
      <c r="M78" s="277">
        <f t="shared" si="0"/>
        <v>360</v>
      </c>
      <c r="N78" s="276">
        <f t="shared" si="1"/>
        <v>109137.60000000001</v>
      </c>
      <c r="O78" s="115">
        <v>180</v>
      </c>
      <c r="P78" s="276">
        <v>49667.4</v>
      </c>
      <c r="Q78" s="115">
        <v>360</v>
      </c>
      <c r="R78" s="276">
        <v>107470.8</v>
      </c>
      <c r="S78" s="115">
        <v>90</v>
      </c>
      <c r="T78" s="276">
        <v>27284.400000000001</v>
      </c>
      <c r="U78" s="278" t="s">
        <v>115</v>
      </c>
      <c r="V78" s="115">
        <v>1583</v>
      </c>
      <c r="W78" s="114">
        <v>43082</v>
      </c>
      <c r="X78" s="115" t="s">
        <v>113</v>
      </c>
      <c r="Y78" s="221">
        <v>43109</v>
      </c>
      <c r="Z78" s="115" t="s">
        <v>110</v>
      </c>
      <c r="AA78" s="221">
        <v>43111</v>
      </c>
      <c r="AB78" s="22">
        <v>0</v>
      </c>
      <c r="AC78" s="170">
        <v>0</v>
      </c>
      <c r="AD78" s="208">
        <v>8</v>
      </c>
      <c r="AE78" s="170">
        <v>2388</v>
      </c>
      <c r="AF78" s="208"/>
      <c r="AG78" s="170"/>
      <c r="AH78" s="208"/>
      <c r="AI78" s="170"/>
      <c r="AJ78" s="233">
        <f t="shared" si="6"/>
        <v>8</v>
      </c>
      <c r="AK78" s="170">
        <f t="shared" si="6"/>
        <v>2388</v>
      </c>
      <c r="AL78" s="270">
        <v>0</v>
      </c>
      <c r="AM78" s="170">
        <v>0</v>
      </c>
      <c r="AN78" s="270">
        <v>8</v>
      </c>
      <c r="AO78" s="170">
        <f t="shared" si="2"/>
        <v>2388</v>
      </c>
      <c r="AP78" s="233"/>
      <c r="AQ78" s="233"/>
      <c r="AR78" s="170">
        <v>298.5</v>
      </c>
      <c r="AS78" s="170">
        <f t="shared" si="3"/>
        <v>0</v>
      </c>
      <c r="AT78" s="233">
        <f>8-8</f>
        <v>0</v>
      </c>
      <c r="AU78" s="386">
        <f t="shared" si="4"/>
        <v>0</v>
      </c>
      <c r="AV78" s="233">
        <f t="shared" si="5"/>
        <v>0</v>
      </c>
    </row>
    <row r="79" spans="1:48" s="62" customFormat="1" ht="25.5" customHeight="1">
      <c r="A79" s="59"/>
      <c r="B79" s="60"/>
      <c r="C79" s="60"/>
      <c r="D79" s="22"/>
      <c r="E79" s="79" t="s">
        <v>24</v>
      </c>
      <c r="F79" s="51" t="s">
        <v>247</v>
      </c>
      <c r="G79" s="275" t="s">
        <v>114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/>
      <c r="P79" s="276"/>
      <c r="Q79" s="115"/>
      <c r="R79" s="276"/>
      <c r="S79" s="115"/>
      <c r="T79" s="276"/>
      <c r="U79" s="278" t="s">
        <v>137</v>
      </c>
      <c r="V79" s="115">
        <v>427</v>
      </c>
      <c r="W79" s="114">
        <v>43164</v>
      </c>
      <c r="X79" s="115" t="s">
        <v>138</v>
      </c>
      <c r="Y79" s="221">
        <v>43164</v>
      </c>
      <c r="Z79" s="115"/>
      <c r="AA79" s="115"/>
      <c r="AB79" s="22">
        <v>0</v>
      </c>
      <c r="AC79" s="170">
        <v>0</v>
      </c>
      <c r="AD79" s="208">
        <v>34</v>
      </c>
      <c r="AE79" s="170">
        <v>10149</v>
      </c>
      <c r="AF79" s="208"/>
      <c r="AG79" s="170"/>
      <c r="AH79" s="208"/>
      <c r="AI79" s="170"/>
      <c r="AJ79" s="233">
        <f t="shared" si="6"/>
        <v>34</v>
      </c>
      <c r="AK79" s="170">
        <f t="shared" si="6"/>
        <v>10149</v>
      </c>
      <c r="AL79" s="270">
        <v>0</v>
      </c>
      <c r="AM79" s="170">
        <v>0</v>
      </c>
      <c r="AN79" s="270">
        <v>34</v>
      </c>
      <c r="AO79" s="170">
        <f t="shared" si="2"/>
        <v>10149</v>
      </c>
      <c r="AP79" s="233"/>
      <c r="AQ79" s="233"/>
      <c r="AR79" s="170">
        <v>298.5</v>
      </c>
      <c r="AS79" s="170">
        <f t="shared" si="3"/>
        <v>0</v>
      </c>
      <c r="AT79" s="233">
        <f>34-34</f>
        <v>0</v>
      </c>
      <c r="AU79" s="386">
        <f t="shared" si="4"/>
        <v>0</v>
      </c>
      <c r="AV79" s="233">
        <f t="shared" si="5"/>
        <v>0</v>
      </c>
    </row>
    <row r="80" spans="1:48" s="62" customFormat="1" ht="25.5" customHeight="1">
      <c r="A80" s="59"/>
      <c r="B80" s="60"/>
      <c r="C80" s="60"/>
      <c r="D80" s="22"/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153</v>
      </c>
      <c r="V80" s="115">
        <v>613</v>
      </c>
      <c r="W80" s="114">
        <v>43193</v>
      </c>
      <c r="X80" s="193">
        <v>97</v>
      </c>
      <c r="Y80" s="200">
        <v>43202</v>
      </c>
      <c r="Z80" s="193" t="s">
        <v>154</v>
      </c>
      <c r="AA80" s="200">
        <v>43214</v>
      </c>
      <c r="AB80" s="22">
        <v>0</v>
      </c>
      <c r="AC80" s="170">
        <v>0</v>
      </c>
      <c r="AD80" s="209">
        <v>270</v>
      </c>
      <c r="AE80" s="194">
        <v>80595</v>
      </c>
      <c r="AF80" s="209"/>
      <c r="AG80" s="194"/>
      <c r="AH80" s="209"/>
      <c r="AI80" s="194"/>
      <c r="AJ80" s="233">
        <f t="shared" si="6"/>
        <v>270</v>
      </c>
      <c r="AK80" s="170">
        <f t="shared" si="6"/>
        <v>80595</v>
      </c>
      <c r="AL80" s="272">
        <v>0</v>
      </c>
      <c r="AM80" s="212">
        <v>0</v>
      </c>
      <c r="AN80" s="269">
        <v>270</v>
      </c>
      <c r="AO80" s="217">
        <f t="shared" si="2"/>
        <v>80595</v>
      </c>
      <c r="AP80" s="232"/>
      <c r="AQ80" s="229"/>
      <c r="AR80" s="212">
        <v>298.5</v>
      </c>
      <c r="AS80" s="212">
        <f t="shared" si="3"/>
        <v>0</v>
      </c>
      <c r="AT80" s="261">
        <f>270-16-60</f>
        <v>194</v>
      </c>
      <c r="AU80" s="228">
        <f t="shared" si="4"/>
        <v>57909</v>
      </c>
      <c r="AV80" s="279">
        <f t="shared" si="5"/>
        <v>194</v>
      </c>
    </row>
    <row r="81" spans="1:48" s="62" customFormat="1" ht="25.5" customHeight="1">
      <c r="A81" s="59"/>
      <c r="B81" s="60"/>
      <c r="C81" s="60"/>
      <c r="D81" s="22"/>
      <c r="E81" s="79" t="s">
        <v>24</v>
      </c>
      <c r="F81" s="140" t="s">
        <v>55</v>
      </c>
      <c r="G81" s="222" t="s">
        <v>114</v>
      </c>
      <c r="H81" s="193" t="s">
        <v>91</v>
      </c>
      <c r="I81" s="193" t="s">
        <v>91</v>
      </c>
      <c r="J81" s="193"/>
      <c r="K81" s="193"/>
      <c r="L81" s="243"/>
      <c r="M81" s="242">
        <f t="shared" si="0"/>
        <v>0</v>
      </c>
      <c r="N81" s="243">
        <f t="shared" si="1"/>
        <v>0</v>
      </c>
      <c r="O81" s="193"/>
      <c r="P81" s="243"/>
      <c r="Q81" s="193"/>
      <c r="R81" s="243"/>
      <c r="S81" s="193"/>
      <c r="T81" s="243"/>
      <c r="U81" s="203" t="s">
        <v>115</v>
      </c>
      <c r="V81" s="115">
        <v>612</v>
      </c>
      <c r="W81" s="114">
        <v>43193</v>
      </c>
      <c r="X81" s="193">
        <v>97</v>
      </c>
      <c r="Y81" s="200">
        <v>43202</v>
      </c>
      <c r="Z81" s="193" t="s">
        <v>155</v>
      </c>
      <c r="AA81" s="200">
        <v>43214</v>
      </c>
      <c r="AB81" s="22">
        <v>0</v>
      </c>
      <c r="AC81" s="170">
        <v>0</v>
      </c>
      <c r="AD81" s="209">
        <v>40</v>
      </c>
      <c r="AE81" s="194">
        <v>11940</v>
      </c>
      <c r="AF81" s="209"/>
      <c r="AG81" s="194"/>
      <c r="AH81" s="209"/>
      <c r="AI81" s="194"/>
      <c r="AJ81" s="233">
        <f t="shared" si="6"/>
        <v>40</v>
      </c>
      <c r="AK81" s="170">
        <f t="shared" si="6"/>
        <v>11940</v>
      </c>
      <c r="AL81" s="272">
        <v>0</v>
      </c>
      <c r="AM81" s="212">
        <v>0</v>
      </c>
      <c r="AN81" s="269">
        <v>40</v>
      </c>
      <c r="AO81" s="217">
        <f t="shared" si="2"/>
        <v>11940</v>
      </c>
      <c r="AP81" s="232"/>
      <c r="AQ81" s="229"/>
      <c r="AR81" s="212">
        <v>298.5</v>
      </c>
      <c r="AS81" s="212">
        <f t="shared" si="3"/>
        <v>0</v>
      </c>
      <c r="AT81" s="227">
        <v>40</v>
      </c>
      <c r="AU81" s="228">
        <f t="shared" si="4"/>
        <v>11940</v>
      </c>
      <c r="AV81" s="279">
        <f t="shared" si="5"/>
        <v>40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244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3">
        <v>6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6</v>
      </c>
      <c r="AU82" s="228"/>
      <c r="AV82" s="279">
        <f t="shared" si="5"/>
        <v>6</v>
      </c>
    </row>
    <row r="83" spans="1:48" s="62" customFormat="1" ht="25.5" customHeight="1">
      <c r="A83" s="59"/>
      <c r="B83" s="60"/>
      <c r="C83" s="60"/>
      <c r="D83" s="22"/>
      <c r="E83" s="79" t="s">
        <v>24</v>
      </c>
      <c r="F83" s="51" t="s">
        <v>250</v>
      </c>
      <c r="G83" s="275" t="s">
        <v>140</v>
      </c>
      <c r="H83" s="115" t="s">
        <v>91</v>
      </c>
      <c r="I83" s="115" t="s">
        <v>91</v>
      </c>
      <c r="J83" s="115">
        <v>1080</v>
      </c>
      <c r="K83" s="115">
        <v>2</v>
      </c>
      <c r="L83" s="276">
        <v>304.58999999999997</v>
      </c>
      <c r="M83" s="277">
        <f t="shared" si="0"/>
        <v>2160</v>
      </c>
      <c r="N83" s="276">
        <f t="shared" si="1"/>
        <v>657914.39999999991</v>
      </c>
      <c r="O83" s="115">
        <v>180</v>
      </c>
      <c r="P83" s="276">
        <v>49908.6</v>
      </c>
      <c r="Q83" s="115">
        <v>1080</v>
      </c>
      <c r="R83" s="276">
        <v>323838</v>
      </c>
      <c r="S83" s="115">
        <v>602</v>
      </c>
      <c r="T83" s="276">
        <v>183363.18</v>
      </c>
      <c r="U83" s="278" t="s">
        <v>139</v>
      </c>
      <c r="V83" s="115">
        <v>427</v>
      </c>
      <c r="W83" s="114">
        <v>43164</v>
      </c>
      <c r="X83" s="115" t="s">
        <v>138</v>
      </c>
      <c r="Y83" s="221">
        <v>43164</v>
      </c>
      <c r="Z83" s="115"/>
      <c r="AA83" s="115"/>
      <c r="AB83" s="22">
        <v>0</v>
      </c>
      <c r="AC83" s="170">
        <v>0</v>
      </c>
      <c r="AD83" s="208">
        <v>56</v>
      </c>
      <c r="AE83" s="170">
        <v>16794.400000000001</v>
      </c>
      <c r="AF83" s="208"/>
      <c r="AG83" s="170"/>
      <c r="AH83" s="208"/>
      <c r="AI83" s="170"/>
      <c r="AJ83" s="233">
        <f t="shared" si="6"/>
        <v>56</v>
      </c>
      <c r="AK83" s="170">
        <f t="shared" si="6"/>
        <v>16794.400000000001</v>
      </c>
      <c r="AL83" s="270">
        <v>0</v>
      </c>
      <c r="AM83" s="170">
        <v>0</v>
      </c>
      <c r="AN83" s="270">
        <v>56</v>
      </c>
      <c r="AO83" s="170">
        <f t="shared" si="2"/>
        <v>16794.400000000001</v>
      </c>
      <c r="AP83" s="233"/>
      <c r="AQ83" s="233"/>
      <c r="AR83" s="170">
        <v>299.89999999999998</v>
      </c>
      <c r="AS83" s="170">
        <f t="shared" si="3"/>
        <v>0</v>
      </c>
      <c r="AT83" s="233">
        <f>18-18</f>
        <v>0</v>
      </c>
      <c r="AU83" s="386">
        <f t="shared" si="4"/>
        <v>0</v>
      </c>
      <c r="AV83" s="233">
        <f t="shared" si="5"/>
        <v>0</v>
      </c>
    </row>
    <row r="84" spans="1:48" s="62" customFormat="1" ht="25.5" customHeight="1">
      <c r="A84" s="59"/>
      <c r="B84" s="60"/>
      <c r="C84" s="60"/>
      <c r="D84" s="22"/>
      <c r="E84" s="79" t="s">
        <v>24</v>
      </c>
      <c r="F84" s="173" t="s">
        <v>64</v>
      </c>
      <c r="G84" s="222" t="s">
        <v>140</v>
      </c>
      <c r="H84" s="193" t="s">
        <v>91</v>
      </c>
      <c r="I84" s="193" t="s">
        <v>91</v>
      </c>
      <c r="J84" s="193"/>
      <c r="K84" s="193"/>
      <c r="L84" s="243"/>
      <c r="M84" s="242">
        <f t="shared" si="0"/>
        <v>0</v>
      </c>
      <c r="N84" s="243">
        <f t="shared" si="1"/>
        <v>0</v>
      </c>
      <c r="O84" s="193"/>
      <c r="P84" s="243"/>
      <c r="Q84" s="193"/>
      <c r="R84" s="243"/>
      <c r="S84" s="193"/>
      <c r="T84" s="243"/>
      <c r="U84" s="203" t="s">
        <v>157</v>
      </c>
      <c r="V84" s="115">
        <v>605</v>
      </c>
      <c r="W84" s="114">
        <v>43193</v>
      </c>
      <c r="X84" s="193">
        <v>97</v>
      </c>
      <c r="Y84" s="200">
        <v>43202</v>
      </c>
      <c r="Z84" s="193" t="s">
        <v>158</v>
      </c>
      <c r="AA84" s="200">
        <v>43216</v>
      </c>
      <c r="AB84" s="22">
        <v>0</v>
      </c>
      <c r="AC84" s="170">
        <v>0</v>
      </c>
      <c r="AD84" s="209">
        <v>510</v>
      </c>
      <c r="AE84" s="194">
        <v>152949</v>
      </c>
      <c r="AF84" s="209"/>
      <c r="AG84" s="194"/>
      <c r="AH84" s="209"/>
      <c r="AI84" s="194"/>
      <c r="AJ84" s="233">
        <f t="shared" si="6"/>
        <v>510</v>
      </c>
      <c r="AK84" s="170">
        <f t="shared" si="6"/>
        <v>152949</v>
      </c>
      <c r="AL84" s="272">
        <v>0</v>
      </c>
      <c r="AM84" s="212">
        <v>0</v>
      </c>
      <c r="AN84" s="269">
        <v>510</v>
      </c>
      <c r="AO84" s="217">
        <f t="shared" si="2"/>
        <v>152949</v>
      </c>
      <c r="AP84" s="232"/>
      <c r="AQ84" s="229"/>
      <c r="AR84" s="212">
        <v>299.89999999999998</v>
      </c>
      <c r="AS84" s="212">
        <f t="shared" si="3"/>
        <v>0</v>
      </c>
      <c r="AT84" s="261">
        <f>510-42-60-60</f>
        <v>348</v>
      </c>
      <c r="AU84" s="228">
        <f t="shared" si="4"/>
        <v>104365.2</v>
      </c>
      <c r="AV84" s="279">
        <f t="shared" si="5"/>
        <v>348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3">
        <v>368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368</v>
      </c>
      <c r="AU85" s="228"/>
      <c r="AV85" s="279">
        <f t="shared" si="5"/>
        <v>368</v>
      </c>
    </row>
    <row r="86" spans="1:48" s="62" customFormat="1" ht="31.5">
      <c r="A86" s="59"/>
      <c r="B86" s="60"/>
      <c r="C86" s="60"/>
      <c r="D86" s="22"/>
      <c r="E86" s="79" t="s">
        <v>24</v>
      </c>
      <c r="F86" s="150" t="s">
        <v>57</v>
      </c>
      <c r="G86" s="222" t="s">
        <v>121</v>
      </c>
      <c r="H86" s="193" t="s">
        <v>91</v>
      </c>
      <c r="I86" s="193" t="s">
        <v>91</v>
      </c>
      <c r="J86" s="193">
        <v>480</v>
      </c>
      <c r="K86" s="193">
        <v>3</v>
      </c>
      <c r="L86" s="243">
        <v>19.399999999999999</v>
      </c>
      <c r="M86" s="242">
        <f>J86*K86</f>
        <v>1440</v>
      </c>
      <c r="N86" s="243">
        <f t="shared" si="1"/>
        <v>27935.999999999996</v>
      </c>
      <c r="O86" s="193">
        <v>6637</v>
      </c>
      <c r="P86" s="243">
        <v>108249.47</v>
      </c>
      <c r="Q86" s="193">
        <v>4000</v>
      </c>
      <c r="R86" s="243">
        <v>89720</v>
      </c>
      <c r="S86" s="193"/>
      <c r="T86" s="243"/>
      <c r="U86" s="203" t="s">
        <v>120</v>
      </c>
      <c r="V86" s="115">
        <v>1745</v>
      </c>
      <c r="W86" s="114">
        <v>43096</v>
      </c>
      <c r="X86" s="193" t="s">
        <v>117</v>
      </c>
      <c r="Y86" s="200">
        <v>43109</v>
      </c>
      <c r="Z86" s="193" t="s">
        <v>118</v>
      </c>
      <c r="AA86" s="200">
        <v>43133</v>
      </c>
      <c r="AB86" s="22">
        <v>0</v>
      </c>
      <c r="AC86" s="170">
        <v>0</v>
      </c>
      <c r="AD86" s="209">
        <v>6637</v>
      </c>
      <c r="AE86" s="194">
        <v>102541.65</v>
      </c>
      <c r="AF86" s="209"/>
      <c r="AG86" s="194"/>
      <c r="AH86" s="209"/>
      <c r="AI86" s="194"/>
      <c r="AJ86" s="233">
        <f t="shared" si="6"/>
        <v>6637</v>
      </c>
      <c r="AK86" s="170">
        <f t="shared" si="6"/>
        <v>102541.65</v>
      </c>
      <c r="AL86" s="272">
        <f>180+290</f>
        <v>470</v>
      </c>
      <c r="AM86" s="212">
        <f>AL86*AR86</f>
        <v>7261.5</v>
      </c>
      <c r="AN86" s="269">
        <v>6167</v>
      </c>
      <c r="AO86" s="217">
        <f t="shared" si="2"/>
        <v>95280.15</v>
      </c>
      <c r="AP86" s="232"/>
      <c r="AQ86" s="229"/>
      <c r="AR86" s="212">
        <v>15.45</v>
      </c>
      <c r="AS86" s="212">
        <f t="shared" si="3"/>
        <v>0</v>
      </c>
      <c r="AT86" s="261">
        <f>5867-550-40-4737-460-30</f>
        <v>50</v>
      </c>
      <c r="AU86" s="228">
        <f t="shared" si="4"/>
        <v>772.5</v>
      </c>
      <c r="AV86" s="279">
        <f t="shared" si="5"/>
        <v>50</v>
      </c>
    </row>
    <row r="87" spans="1:48" s="62" customFormat="1" ht="31.5">
      <c r="A87" s="59"/>
      <c r="B87" s="60"/>
      <c r="C87" s="60"/>
      <c r="D87" s="22"/>
      <c r="E87" s="79" t="s">
        <v>24</v>
      </c>
      <c r="F87" s="150" t="s">
        <v>57</v>
      </c>
      <c r="G87" s="222" t="s">
        <v>121</v>
      </c>
      <c r="H87" s="193" t="s">
        <v>91</v>
      </c>
      <c r="I87" s="193" t="s">
        <v>91</v>
      </c>
      <c r="J87" s="193"/>
      <c r="K87" s="193"/>
      <c r="L87" s="243"/>
      <c r="M87" s="242">
        <f t="shared" ref="M87:M88" si="8">J87*K87</f>
        <v>0</v>
      </c>
      <c r="N87" s="243">
        <f t="shared" ref="N87:N90" si="9">L87*M87</f>
        <v>0</v>
      </c>
      <c r="O87" s="193"/>
      <c r="P87" s="243"/>
      <c r="Q87" s="193"/>
      <c r="R87" s="243"/>
      <c r="S87" s="193"/>
      <c r="T87" s="243"/>
      <c r="U87" s="203" t="s">
        <v>173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144</v>
      </c>
      <c r="AE87" s="194">
        <v>2142.7199999999998</v>
      </c>
      <c r="AF87" s="209"/>
      <c r="AG87" s="194"/>
      <c r="AH87" s="209"/>
      <c r="AI87" s="194"/>
      <c r="AJ87" s="233">
        <f t="shared" si="6"/>
        <v>144</v>
      </c>
      <c r="AK87" s="170">
        <f t="shared" si="6"/>
        <v>2142.7199999999998</v>
      </c>
      <c r="AL87" s="272">
        <v>0</v>
      </c>
      <c r="AM87" s="212">
        <v>0</v>
      </c>
      <c r="AN87" s="269">
        <v>144</v>
      </c>
      <c r="AO87" s="217">
        <f t="shared" ref="AO87" si="10">AC87+AK87-AM87</f>
        <v>2142.7199999999998</v>
      </c>
      <c r="AP87" s="232"/>
      <c r="AQ87" s="229"/>
      <c r="AR87" s="212">
        <v>14.88</v>
      </c>
      <c r="AS87" s="212">
        <f t="shared" si="3"/>
        <v>0</v>
      </c>
      <c r="AT87" s="227">
        <v>144</v>
      </c>
      <c r="AU87" s="228">
        <f t="shared" si="4"/>
        <v>2142.7200000000003</v>
      </c>
      <c r="AV87" s="279">
        <f t="shared" ref="AV87:AV97" si="11">AT87</f>
        <v>144</v>
      </c>
    </row>
    <row r="88" spans="1:48" s="62" customFormat="1" ht="31.5">
      <c r="A88" s="59"/>
      <c r="B88" s="60"/>
      <c r="C88" s="60"/>
      <c r="D88" s="22"/>
      <c r="E88" s="79" t="s">
        <v>24</v>
      </c>
      <c r="F88" s="150" t="s">
        <v>57</v>
      </c>
      <c r="G88" s="222" t="s">
        <v>121</v>
      </c>
      <c r="H88" s="193" t="s">
        <v>91</v>
      </c>
      <c r="I88" s="193" t="s">
        <v>91</v>
      </c>
      <c r="J88" s="193"/>
      <c r="K88" s="193"/>
      <c r="L88" s="243"/>
      <c r="M88" s="242">
        <f t="shared" si="8"/>
        <v>0</v>
      </c>
      <c r="N88" s="243">
        <f t="shared" si="9"/>
        <v>0</v>
      </c>
      <c r="O88" s="193"/>
      <c r="P88" s="243"/>
      <c r="Q88" s="193"/>
      <c r="R88" s="243"/>
      <c r="S88" s="193"/>
      <c r="T88" s="243"/>
      <c r="U88" s="203" t="s">
        <v>183</v>
      </c>
      <c r="V88" s="115">
        <v>1418</v>
      </c>
      <c r="W88" s="114">
        <v>43312</v>
      </c>
      <c r="X88" s="193" t="s">
        <v>184</v>
      </c>
      <c r="Y88" s="200">
        <v>43332</v>
      </c>
      <c r="Z88" s="193" t="s">
        <v>185</v>
      </c>
      <c r="AA88" s="200">
        <v>43320</v>
      </c>
      <c r="AB88" s="22">
        <v>0</v>
      </c>
      <c r="AC88" s="170">
        <v>0</v>
      </c>
      <c r="AD88" s="209">
        <v>76</v>
      </c>
      <c r="AE88" s="194">
        <v>1130.8800000000001</v>
      </c>
      <c r="AF88" s="209"/>
      <c r="AG88" s="194"/>
      <c r="AH88" s="209"/>
      <c r="AI88" s="194"/>
      <c r="AJ88" s="233">
        <f t="shared" si="6"/>
        <v>76</v>
      </c>
      <c r="AK88" s="170">
        <f t="shared" si="6"/>
        <v>1130.8800000000001</v>
      </c>
      <c r="AL88" s="272">
        <v>0</v>
      </c>
      <c r="AM88" s="212">
        <v>0</v>
      </c>
      <c r="AN88" s="269">
        <v>76</v>
      </c>
      <c r="AO88" s="217">
        <v>0</v>
      </c>
      <c r="AP88" s="232"/>
      <c r="AQ88" s="229"/>
      <c r="AR88" s="212">
        <v>14.88</v>
      </c>
      <c r="AS88" s="212">
        <f t="shared" si="3"/>
        <v>0</v>
      </c>
      <c r="AT88" s="227">
        <v>76</v>
      </c>
      <c r="AU88" s="228">
        <f t="shared" si="4"/>
        <v>1130.8800000000001</v>
      </c>
      <c r="AV88" s="279">
        <f t="shared" si="11"/>
        <v>76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121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3">
        <v>45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45</v>
      </c>
      <c r="AU89" s="228"/>
      <c r="AV89" s="279">
        <v>45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78" t="s">
        <v>58</v>
      </c>
      <c r="G90" s="222" t="s">
        <v>123</v>
      </c>
      <c r="H90" s="193" t="s">
        <v>91</v>
      </c>
      <c r="I90" s="193" t="s">
        <v>91</v>
      </c>
      <c r="J90" s="193">
        <v>5</v>
      </c>
      <c r="K90" s="193">
        <v>5</v>
      </c>
      <c r="L90" s="243">
        <v>2899.28</v>
      </c>
      <c r="M90" s="242">
        <f>J90*K90</f>
        <v>25</v>
      </c>
      <c r="N90" s="243">
        <f t="shared" si="9"/>
        <v>72482</v>
      </c>
      <c r="O90" s="193">
        <v>4</v>
      </c>
      <c r="P90" s="243">
        <v>8377.6</v>
      </c>
      <c r="Q90" s="193"/>
      <c r="R90" s="243"/>
      <c r="S90" s="193"/>
      <c r="T90" s="243"/>
      <c r="U90" s="203" t="s">
        <v>122</v>
      </c>
      <c r="V90" s="115">
        <v>1745</v>
      </c>
      <c r="W90" s="114">
        <v>43096</v>
      </c>
      <c r="X90" s="193" t="s">
        <v>117</v>
      </c>
      <c r="Y90" s="200">
        <v>43109</v>
      </c>
      <c r="Z90" s="193" t="s">
        <v>118</v>
      </c>
      <c r="AA90" s="200">
        <v>43133</v>
      </c>
      <c r="AB90" s="22">
        <v>0</v>
      </c>
      <c r="AC90" s="170">
        <v>0</v>
      </c>
      <c r="AD90" s="209">
        <v>4</v>
      </c>
      <c r="AE90" s="194">
        <v>9062.24</v>
      </c>
      <c r="AF90" s="209"/>
      <c r="AG90" s="194"/>
      <c r="AH90" s="209"/>
      <c r="AI90" s="194"/>
      <c r="AJ90" s="233">
        <f t="shared" si="6"/>
        <v>4</v>
      </c>
      <c r="AK90" s="170">
        <f t="shared" si="6"/>
        <v>9062.24</v>
      </c>
      <c r="AL90" s="272">
        <v>0</v>
      </c>
      <c r="AM90" s="212">
        <v>0</v>
      </c>
      <c r="AN90" s="269">
        <v>4</v>
      </c>
      <c r="AO90" s="217">
        <f t="shared" ref="AO90:AO97" si="12">AC90+AK90-AM90</f>
        <v>9062.24</v>
      </c>
      <c r="AP90" s="232"/>
      <c r="AQ90" s="229"/>
      <c r="AR90" s="212">
        <v>2265.56</v>
      </c>
      <c r="AS90" s="212">
        <f t="shared" si="3"/>
        <v>0</v>
      </c>
      <c r="AT90" s="227">
        <v>4</v>
      </c>
      <c r="AU90" s="228">
        <f t="shared" si="4"/>
        <v>9062.24</v>
      </c>
      <c r="AV90" s="279">
        <f t="shared" si="11"/>
        <v>4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78" t="s">
        <v>58</v>
      </c>
      <c r="G91" s="222" t="s">
        <v>123</v>
      </c>
      <c r="H91" s="193" t="s">
        <v>91</v>
      </c>
      <c r="I91" s="193" t="s">
        <v>91</v>
      </c>
      <c r="J91" s="193"/>
      <c r="K91" s="193"/>
      <c r="L91" s="243"/>
      <c r="M91" s="242">
        <f t="shared" ref="M91:M97" si="13">J91*K91</f>
        <v>0</v>
      </c>
      <c r="N91" s="243">
        <f>L91*M91</f>
        <v>0</v>
      </c>
      <c r="O91" s="193"/>
      <c r="P91" s="243"/>
      <c r="Q91" s="193"/>
      <c r="R91" s="243"/>
      <c r="S91" s="193"/>
      <c r="T91" s="243"/>
      <c r="U91" s="203" t="s">
        <v>170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</v>
      </c>
      <c r="AE91" s="194">
        <v>4531.12</v>
      </c>
      <c r="AF91" s="209"/>
      <c r="AG91" s="194"/>
      <c r="AH91" s="209"/>
      <c r="AI91" s="194"/>
      <c r="AJ91" s="233">
        <f t="shared" si="6"/>
        <v>2</v>
      </c>
      <c r="AK91" s="170">
        <f t="shared" si="6"/>
        <v>4531.12</v>
      </c>
      <c r="AL91" s="272">
        <v>0</v>
      </c>
      <c r="AM91" s="212">
        <v>0</v>
      </c>
      <c r="AN91" s="269">
        <v>2</v>
      </c>
      <c r="AO91" s="217">
        <f t="shared" si="12"/>
        <v>4531.12</v>
      </c>
      <c r="AP91" s="232"/>
      <c r="AQ91" s="229"/>
      <c r="AR91" s="212">
        <v>2265.56</v>
      </c>
      <c r="AS91" s="212">
        <f t="shared" ref="AS91:AS97" si="14">AQ91*AR91</f>
        <v>0</v>
      </c>
      <c r="AT91" s="227">
        <v>2</v>
      </c>
      <c r="AU91" s="228">
        <f t="shared" ref="AU91:AU97" si="15">AT91*AR91</f>
        <v>4531.12</v>
      </c>
      <c r="AV91" s="279">
        <f t="shared" si="11"/>
        <v>2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si="13"/>
        <v>144</v>
      </c>
      <c r="N92" s="243">
        <f t="shared" ref="N92:N97" si="16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3">
        <f t="shared" ref="AJ92:AK97" si="17">AD92+AF92+AH92</f>
        <v>14</v>
      </c>
      <c r="AK92" s="170">
        <f t="shared" si="17"/>
        <v>774.48</v>
      </c>
      <c r="AL92" s="272">
        <v>0</v>
      </c>
      <c r="AM92" s="212">
        <v>0</v>
      </c>
      <c r="AN92" s="269">
        <v>14</v>
      </c>
      <c r="AO92" s="217">
        <f t="shared" si="12"/>
        <v>774.48</v>
      </c>
      <c r="AP92" s="232"/>
      <c r="AQ92" s="229"/>
      <c r="AR92" s="212">
        <v>55.32</v>
      </c>
      <c r="AS92" s="212">
        <f t="shared" si="14"/>
        <v>0</v>
      </c>
      <c r="AT92" s="227">
        <f>14-2</f>
        <v>12</v>
      </c>
      <c r="AU92" s="228">
        <f t="shared" si="15"/>
        <v>663.84</v>
      </c>
      <c r="AV92" s="279">
        <f t="shared" si="11"/>
        <v>12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3"/>
        <v>0</v>
      </c>
      <c r="N93" s="243">
        <f t="shared" si="16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3">
        <f t="shared" si="17"/>
        <v>26</v>
      </c>
      <c r="AK93" s="170">
        <f t="shared" si="17"/>
        <v>1438.32</v>
      </c>
      <c r="AL93" s="272">
        <v>0</v>
      </c>
      <c r="AM93" s="212">
        <v>0</v>
      </c>
      <c r="AN93" s="269">
        <v>26</v>
      </c>
      <c r="AO93" s="217">
        <f t="shared" si="12"/>
        <v>1438.32</v>
      </c>
      <c r="AP93" s="232"/>
      <c r="AQ93" s="229"/>
      <c r="AR93" s="212">
        <v>55.32</v>
      </c>
      <c r="AS93" s="212">
        <f t="shared" si="14"/>
        <v>0</v>
      </c>
      <c r="AT93" s="227">
        <v>26</v>
      </c>
      <c r="AU93" s="228">
        <f t="shared" si="15"/>
        <v>1438.32</v>
      </c>
      <c r="AV93" s="279">
        <f t="shared" si="11"/>
        <v>26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79" t="s">
        <v>62</v>
      </c>
      <c r="G94" s="222" t="s">
        <v>129</v>
      </c>
      <c r="H94" s="193" t="s">
        <v>91</v>
      </c>
      <c r="I94" s="193" t="s">
        <v>91</v>
      </c>
      <c r="J94" s="193">
        <v>24</v>
      </c>
      <c r="K94" s="193">
        <v>4</v>
      </c>
      <c r="L94" s="243">
        <v>984.1</v>
      </c>
      <c r="M94" s="242">
        <f t="shared" si="13"/>
        <v>96</v>
      </c>
      <c r="N94" s="243">
        <f t="shared" si="16"/>
        <v>94473.600000000006</v>
      </c>
      <c r="O94" s="193">
        <v>6</v>
      </c>
      <c r="P94" s="243">
        <v>4721.3999999999996</v>
      </c>
      <c r="Q94" s="193"/>
      <c r="R94" s="243"/>
      <c r="S94" s="193"/>
      <c r="T94" s="243"/>
      <c r="U94" s="203" t="s">
        <v>130</v>
      </c>
      <c r="V94" s="115">
        <v>135</v>
      </c>
      <c r="W94" s="114">
        <v>42761</v>
      </c>
      <c r="X94" s="193" t="s">
        <v>126</v>
      </c>
      <c r="Y94" s="200">
        <v>43130</v>
      </c>
      <c r="Z94" s="193"/>
      <c r="AA94" s="193"/>
      <c r="AB94" s="22">
        <v>0</v>
      </c>
      <c r="AC94" s="170">
        <v>0</v>
      </c>
      <c r="AD94" s="209">
        <v>6</v>
      </c>
      <c r="AE94" s="194">
        <v>4549.08</v>
      </c>
      <c r="AF94" s="209"/>
      <c r="AG94" s="194"/>
      <c r="AH94" s="209"/>
      <c r="AI94" s="194"/>
      <c r="AJ94" s="233">
        <f t="shared" si="17"/>
        <v>6</v>
      </c>
      <c r="AK94" s="170">
        <f t="shared" si="17"/>
        <v>4549.08</v>
      </c>
      <c r="AL94" s="272">
        <v>0</v>
      </c>
      <c r="AM94" s="212">
        <v>0</v>
      </c>
      <c r="AN94" s="269">
        <v>6</v>
      </c>
      <c r="AO94" s="217">
        <f t="shared" si="12"/>
        <v>4549.08</v>
      </c>
      <c r="AP94" s="232"/>
      <c r="AQ94" s="229"/>
      <c r="AR94" s="212">
        <v>758.18</v>
      </c>
      <c r="AS94" s="212">
        <f t="shared" si="14"/>
        <v>0</v>
      </c>
      <c r="AT94" s="227">
        <v>6</v>
      </c>
      <c r="AU94" s="228">
        <f t="shared" si="15"/>
        <v>4549.08</v>
      </c>
      <c r="AV94" s="279">
        <f t="shared" si="11"/>
        <v>6</v>
      </c>
    </row>
    <row r="95" spans="1:48" s="62" customFormat="1" ht="26.25" customHeight="1">
      <c r="A95" s="59"/>
      <c r="B95" s="60"/>
      <c r="C95" s="60"/>
      <c r="D95" s="22"/>
      <c r="E95" s="79" t="s">
        <v>24</v>
      </c>
      <c r="F95" s="179" t="s">
        <v>62</v>
      </c>
      <c r="G95" s="222" t="s">
        <v>129</v>
      </c>
      <c r="H95" s="193" t="s">
        <v>91</v>
      </c>
      <c r="I95" s="193" t="s">
        <v>91</v>
      </c>
      <c r="J95" s="193"/>
      <c r="K95" s="193"/>
      <c r="L95" s="243"/>
      <c r="M95" s="242">
        <f t="shared" si="13"/>
        <v>0</v>
      </c>
      <c r="N95" s="243">
        <f t="shared" si="16"/>
        <v>0</v>
      </c>
      <c r="O95" s="193"/>
      <c r="P95" s="243"/>
      <c r="Q95" s="193"/>
      <c r="R95" s="243"/>
      <c r="S95" s="193"/>
      <c r="T95" s="243"/>
      <c r="U95" s="203" t="s">
        <v>172</v>
      </c>
      <c r="V95" s="115">
        <v>834</v>
      </c>
      <c r="W95" s="114">
        <v>43222</v>
      </c>
      <c r="X95" s="193" t="s">
        <v>162</v>
      </c>
      <c r="Y95" s="200">
        <v>43242</v>
      </c>
      <c r="Z95" s="193"/>
      <c r="AA95" s="193"/>
      <c r="AB95" s="22">
        <v>0</v>
      </c>
      <c r="AC95" s="170">
        <v>0</v>
      </c>
      <c r="AD95" s="209">
        <v>10</v>
      </c>
      <c r="AE95" s="194">
        <v>7581.8</v>
      </c>
      <c r="AF95" s="209"/>
      <c r="AG95" s="194"/>
      <c r="AH95" s="209"/>
      <c r="AI95" s="194"/>
      <c r="AJ95" s="233">
        <f t="shared" si="17"/>
        <v>10</v>
      </c>
      <c r="AK95" s="170">
        <f t="shared" si="17"/>
        <v>7581.8</v>
      </c>
      <c r="AL95" s="272">
        <v>0</v>
      </c>
      <c r="AM95" s="212">
        <v>0</v>
      </c>
      <c r="AN95" s="269">
        <v>10</v>
      </c>
      <c r="AO95" s="217">
        <f t="shared" si="12"/>
        <v>7581.8</v>
      </c>
      <c r="AP95" s="232"/>
      <c r="AQ95" s="229"/>
      <c r="AR95" s="212">
        <v>758.18</v>
      </c>
      <c r="AS95" s="212">
        <f t="shared" si="14"/>
        <v>0</v>
      </c>
      <c r="AT95" s="227">
        <v>10</v>
      </c>
      <c r="AU95" s="228">
        <f t="shared" si="15"/>
        <v>7581.7999999999993</v>
      </c>
      <c r="AV95" s="279">
        <f t="shared" si="11"/>
        <v>10</v>
      </c>
    </row>
    <row r="96" spans="1:48" s="62" customFormat="1" ht="26.25" customHeight="1">
      <c r="A96" s="59"/>
      <c r="B96" s="60"/>
      <c r="C96" s="60"/>
      <c r="D96" s="22"/>
      <c r="E96" s="79"/>
      <c r="F96" s="179" t="s">
        <v>62</v>
      </c>
      <c r="G96" s="222" t="s">
        <v>129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/>
      <c r="V96" s="115"/>
      <c r="W96" s="114"/>
      <c r="X96" s="193"/>
      <c r="Y96" s="200"/>
      <c r="Z96" s="193"/>
      <c r="AA96" s="193"/>
      <c r="AB96" s="22"/>
      <c r="AC96" s="170"/>
      <c r="AD96" s="209"/>
      <c r="AE96" s="194"/>
      <c r="AF96" s="209"/>
      <c r="AG96" s="194"/>
      <c r="AH96" s="209"/>
      <c r="AI96" s="194"/>
      <c r="AJ96" s="233">
        <v>4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27">
        <v>4</v>
      </c>
      <c r="AU96" s="228"/>
      <c r="AV96" s="279">
        <v>4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91" t="s">
        <v>66</v>
      </c>
      <c r="G97" s="222" t="s">
        <v>135</v>
      </c>
      <c r="H97" s="193" t="s">
        <v>91</v>
      </c>
      <c r="I97" s="193" t="s">
        <v>91</v>
      </c>
      <c r="J97" s="193">
        <v>4</v>
      </c>
      <c r="K97" s="193">
        <v>4</v>
      </c>
      <c r="L97" s="243">
        <v>2051.94</v>
      </c>
      <c r="M97" s="242">
        <f t="shared" si="13"/>
        <v>16</v>
      </c>
      <c r="N97" s="243">
        <f t="shared" si="16"/>
        <v>32831.040000000001</v>
      </c>
      <c r="O97" s="193">
        <v>4</v>
      </c>
      <c r="P97" s="243">
        <v>4104.6400000000003</v>
      </c>
      <c r="Q97" s="193"/>
      <c r="R97" s="243"/>
      <c r="S97" s="193"/>
      <c r="T97" s="243"/>
      <c r="U97" s="203">
        <v>1633600163</v>
      </c>
      <c r="V97" s="115">
        <v>260</v>
      </c>
      <c r="W97" s="114">
        <v>43145</v>
      </c>
      <c r="X97" s="193" t="s">
        <v>94</v>
      </c>
      <c r="Y97" s="200">
        <v>43164</v>
      </c>
      <c r="Z97" s="193"/>
      <c r="AA97" s="193"/>
      <c r="AB97" s="22">
        <v>0</v>
      </c>
      <c r="AC97" s="170">
        <v>0</v>
      </c>
      <c r="AD97" s="209">
        <v>2</v>
      </c>
      <c r="AE97" s="194">
        <f>2020.4+2020.4</f>
        <v>4040.8</v>
      </c>
      <c r="AF97" s="209"/>
      <c r="AG97" s="194"/>
      <c r="AH97" s="209"/>
      <c r="AI97" s="194"/>
      <c r="AJ97" s="233">
        <f t="shared" si="17"/>
        <v>2</v>
      </c>
      <c r="AK97" s="170">
        <f t="shared" si="17"/>
        <v>4040.8</v>
      </c>
      <c r="AL97" s="272">
        <v>0</v>
      </c>
      <c r="AM97" s="212">
        <v>0</v>
      </c>
      <c r="AN97" s="269">
        <v>2</v>
      </c>
      <c r="AO97" s="217">
        <f t="shared" si="12"/>
        <v>4040.8</v>
      </c>
      <c r="AP97" s="232"/>
      <c r="AQ97" s="229"/>
      <c r="AR97" s="212">
        <v>2020.4</v>
      </c>
      <c r="AS97" s="212">
        <f t="shared" si="14"/>
        <v>0</v>
      </c>
      <c r="AT97" s="227">
        <v>2</v>
      </c>
      <c r="AU97" s="228">
        <f t="shared" si="15"/>
        <v>4040.8</v>
      </c>
      <c r="AV97" s="279">
        <f t="shared" si="11"/>
        <v>2</v>
      </c>
    </row>
    <row r="98" spans="1:48" s="251" customFormat="1" ht="21" customHeight="1">
      <c r="A98" s="20" t="s">
        <v>11</v>
      </c>
      <c r="B98" s="20"/>
      <c r="C98" s="20"/>
      <c r="D98" s="695" t="s">
        <v>34</v>
      </c>
      <c r="E98" s="696"/>
      <c r="F98" s="697"/>
      <c r="G98" s="246"/>
      <c r="H98" s="246"/>
      <c r="I98" s="246"/>
      <c r="J98" s="246"/>
      <c r="K98" s="247">
        <f>SUM(K17:K97)</f>
        <v>34</v>
      </c>
      <c r="L98" s="248"/>
      <c r="M98" s="246"/>
      <c r="N98" s="249">
        <f>SUM(N17:N97)</f>
        <v>3452363.2</v>
      </c>
      <c r="O98" s="248"/>
      <c r="P98" s="249">
        <f t="shared" ref="P98:T98" si="18">SUM(P17:P97)</f>
        <v>1903757.27</v>
      </c>
      <c r="Q98" s="248"/>
      <c r="R98" s="249">
        <f t="shared" si="18"/>
        <v>1395649.94</v>
      </c>
      <c r="S98" s="248"/>
      <c r="T98" s="249">
        <f t="shared" si="18"/>
        <v>1083638.72</v>
      </c>
      <c r="U98" s="291" t="s">
        <v>156</v>
      </c>
      <c r="V98" s="291" t="s">
        <v>156</v>
      </c>
      <c r="W98" s="291" t="s">
        <v>156</v>
      </c>
      <c r="X98" s="250" t="s">
        <v>156</v>
      </c>
      <c r="Y98" s="250" t="s">
        <v>156</v>
      </c>
      <c r="Z98" s="250" t="s">
        <v>156</v>
      </c>
      <c r="AA98" s="250" t="s">
        <v>156</v>
      </c>
      <c r="AB98" s="176">
        <f>SUM(AB17:AB41)</f>
        <v>1342</v>
      </c>
      <c r="AC98" s="171">
        <f>SUM(AC17:AC78)</f>
        <v>493758.06</v>
      </c>
      <c r="AD98" s="210">
        <f>SUM(AD17:AD97)</f>
        <v>13168</v>
      </c>
      <c r="AE98" s="195">
        <f t="shared" ref="AE98:AM98" si="19">SUM(AE17:AE97)</f>
        <v>1524549.46</v>
      </c>
      <c r="AF98" s="210">
        <f t="shared" si="19"/>
        <v>0</v>
      </c>
      <c r="AG98" s="195">
        <f t="shared" si="19"/>
        <v>0</v>
      </c>
      <c r="AH98" s="210">
        <f t="shared" si="19"/>
        <v>0</v>
      </c>
      <c r="AI98" s="195">
        <f t="shared" si="19"/>
        <v>0</v>
      </c>
      <c r="AJ98" s="176">
        <f>SUM(AJ17:AJ97)</f>
        <v>13646</v>
      </c>
      <c r="AK98" s="175">
        <f>SUM(AK17:AK97)</f>
        <v>1524549.46</v>
      </c>
      <c r="AL98" s="213">
        <f t="shared" si="19"/>
        <v>2245</v>
      </c>
      <c r="AM98" s="214">
        <f t="shared" si="19"/>
        <v>504590.05000000005</v>
      </c>
      <c r="AN98" s="218">
        <f>SUM(AN17:AN97)</f>
        <v>12265</v>
      </c>
      <c r="AO98" s="219">
        <f>SUM(AO17:AO97)</f>
        <v>1495993.66</v>
      </c>
      <c r="AP98" s="286">
        <f>SUM(AP17:AP97)</f>
        <v>0</v>
      </c>
      <c r="AQ98" s="287">
        <f>SUM(AQ17:AQ97)</f>
        <v>0</v>
      </c>
      <c r="AR98" s="226" t="s">
        <v>156</v>
      </c>
      <c r="AS98" s="226">
        <f>SUM(AS17:AS97)</f>
        <v>0</v>
      </c>
      <c r="AT98" s="261">
        <f>SUM(AT17:AT97)</f>
        <v>4739</v>
      </c>
      <c r="AU98" s="228">
        <f>SUM(AU17:AU97)</f>
        <v>936213.67</v>
      </c>
      <c r="AV98" s="236">
        <f>SUM(AV17:AV97)</f>
        <v>4739</v>
      </c>
    </row>
    <row r="99" spans="1:48" s="336" customFormat="1" ht="21" customHeight="1">
      <c r="A99" s="20"/>
      <c r="B99" s="20"/>
      <c r="C99" s="20"/>
      <c r="D99" s="294"/>
      <c r="E99" s="294"/>
      <c r="F99" s="294"/>
      <c r="G99" s="330"/>
      <c r="H99" s="330"/>
      <c r="I99" s="330"/>
      <c r="J99" s="330"/>
      <c r="K99" s="331"/>
      <c r="L99" s="332"/>
      <c r="M99" s="330"/>
      <c r="N99" s="333"/>
      <c r="O99" s="332"/>
      <c r="P99" s="333"/>
      <c r="Q99" s="332"/>
      <c r="R99" s="333"/>
      <c r="S99" s="332"/>
      <c r="T99" s="333"/>
      <c r="U99" s="295"/>
      <c r="V99" s="295"/>
      <c r="W99" s="295"/>
      <c r="X99" s="295"/>
      <c r="Y99" s="295"/>
      <c r="Z99" s="295"/>
      <c r="AA99" s="295"/>
      <c r="AB99" s="296"/>
      <c r="AC99" s="297"/>
      <c r="AD99" s="296"/>
      <c r="AE99" s="297"/>
      <c r="AF99" s="296"/>
      <c r="AG99" s="297"/>
      <c r="AH99" s="296"/>
      <c r="AI99" s="297"/>
      <c r="AJ99" s="298"/>
      <c r="AK99" s="299"/>
      <c r="AL99" s="334"/>
      <c r="AM99" s="297"/>
      <c r="AN99" s="296"/>
      <c r="AO99" s="297"/>
      <c r="AP99" s="298"/>
      <c r="AQ99" s="335"/>
      <c r="AR99" s="333"/>
      <c r="AS99" s="333"/>
      <c r="AT99" s="331"/>
      <c r="AU99" s="333"/>
      <c r="AV99" s="331"/>
    </row>
    <row r="100" spans="1:48" s="336" customFormat="1" ht="21" hidden="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29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292" customFormat="1" ht="20.25" hidden="1">
      <c r="A101" s="301"/>
      <c r="B101" s="301"/>
      <c r="C101" s="301"/>
      <c r="D101" s="302"/>
      <c r="E101" s="301"/>
      <c r="F101" s="303" t="s">
        <v>205</v>
      </c>
      <c r="G101" s="303"/>
      <c r="H101" s="303" t="s">
        <v>208</v>
      </c>
      <c r="I101" s="303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3"/>
      <c r="V101" s="303"/>
      <c r="X101" s="303"/>
      <c r="Y101" s="303"/>
      <c r="Z101" s="303"/>
      <c r="AA101" s="303" t="s">
        <v>208</v>
      </c>
      <c r="AB101" s="303"/>
      <c r="AC101" s="303"/>
      <c r="AD101" s="303"/>
      <c r="AE101" s="303"/>
      <c r="AF101" s="303"/>
      <c r="AG101" s="303"/>
      <c r="AH101" s="303"/>
      <c r="AI101" s="303"/>
      <c r="AJ101" s="301"/>
      <c r="AK101" s="303"/>
      <c r="AL101" s="301"/>
      <c r="AM101" s="30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20.25" hidden="1">
      <c r="A102" s="301"/>
      <c r="B102" s="301"/>
      <c r="C102" s="301"/>
      <c r="D102" s="302"/>
      <c r="E102" s="301"/>
      <c r="F102" s="303"/>
      <c r="G102" s="303"/>
      <c r="H102" s="303"/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1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1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15" hidden="1" customHeight="1">
      <c r="A104" s="309"/>
      <c r="B104" s="309"/>
      <c r="C104" s="309"/>
      <c r="D104" s="302"/>
      <c r="E104" s="309"/>
      <c r="F104" s="310"/>
      <c r="G104" s="310"/>
      <c r="H104" s="308"/>
      <c r="I104" s="308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8"/>
      <c r="V104" s="311"/>
      <c r="AA104" s="311"/>
      <c r="AJ104" s="293"/>
      <c r="AK104" s="312"/>
      <c r="AL104" s="309"/>
      <c r="AM104" s="31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8" hidden="1" customHeight="1">
      <c r="A105" s="314" t="s">
        <v>12</v>
      </c>
      <c r="B105" s="314"/>
      <c r="C105" s="314"/>
      <c r="D105" s="315"/>
      <c r="E105" s="314"/>
      <c r="F105" s="316" t="s">
        <v>206</v>
      </c>
      <c r="G105" s="316"/>
      <c r="H105" s="736" t="s">
        <v>209</v>
      </c>
      <c r="I105" s="736"/>
      <c r="J105" s="736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8"/>
      <c r="V105" s="319"/>
      <c r="X105" s="303"/>
      <c r="Y105" s="316"/>
      <c r="Z105" s="316"/>
      <c r="AA105" s="320" t="s">
        <v>209</v>
      </c>
      <c r="AB105" s="316"/>
      <c r="AC105" s="316"/>
      <c r="AD105" s="316"/>
      <c r="AE105" s="316"/>
      <c r="AF105" s="316"/>
      <c r="AG105" s="316"/>
      <c r="AH105" s="316"/>
      <c r="AI105" s="316"/>
      <c r="AJ105" s="314"/>
      <c r="AK105" s="316"/>
      <c r="AL105" s="314"/>
      <c r="AM105" s="316"/>
      <c r="AN105" s="314"/>
      <c r="AO105" s="321"/>
      <c r="AP105" s="307"/>
      <c r="AQ105" s="302"/>
      <c r="AR105" s="308"/>
      <c r="AS105" s="308"/>
      <c r="AT105" s="302"/>
      <c r="AU105" s="302"/>
      <c r="AV105" s="302"/>
    </row>
    <row r="106" spans="1:48" s="62" customFormat="1" ht="18.75" hidden="1">
      <c r="A106" s="11"/>
      <c r="B106" s="11"/>
      <c r="C106" s="11"/>
      <c r="D106" s="255"/>
      <c r="E106" s="11"/>
      <c r="F106" s="322"/>
      <c r="G106" s="322"/>
      <c r="H106" s="322"/>
      <c r="I106" s="322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4"/>
      <c r="AK106" s="322"/>
      <c r="AL106" s="324"/>
      <c r="AM106" s="322"/>
      <c r="AN106" s="281"/>
      <c r="AO106" s="325"/>
      <c r="AP106" s="326"/>
      <c r="AQ106" s="446"/>
      <c r="AR106" s="255"/>
      <c r="AS106" s="255"/>
      <c r="AT106" s="446"/>
      <c r="AU106" s="446"/>
      <c r="AV106" s="446"/>
    </row>
    <row r="107" spans="1:48" s="103" customFormat="1" ht="57.75" hidden="1" customHeight="1">
      <c r="A107" s="11"/>
      <c r="B107" s="11"/>
      <c r="C107" s="11"/>
      <c r="D107" s="255"/>
      <c r="E107" s="720" t="s">
        <v>207</v>
      </c>
      <c r="F107" s="720"/>
      <c r="G107" s="327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9"/>
      <c r="W107" s="329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281"/>
      <c r="AK107" s="11"/>
      <c r="AL107" s="281"/>
      <c r="AM107" s="11"/>
      <c r="AN107" s="281"/>
      <c r="AP107" s="326"/>
      <c r="AQ107" s="446"/>
      <c r="AR107" s="255"/>
      <c r="AS107" s="255"/>
      <c r="AT107" s="446"/>
      <c r="AU107" s="446"/>
      <c r="AV107" s="446"/>
    </row>
  </sheetData>
  <mergeCells count="40">
    <mergeCell ref="D11:AV11"/>
    <mergeCell ref="E6:AT6"/>
    <mergeCell ref="D7:AV7"/>
    <mergeCell ref="D8:AV8"/>
    <mergeCell ref="D9:AV9"/>
    <mergeCell ref="D10:AV10"/>
    <mergeCell ref="E107:F107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8:F98"/>
    <mergeCell ref="H105:J105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7"/>
  <sheetViews>
    <sheetView view="pageBreakPreview" topLeftCell="C1" zoomScale="70" zoomScaleSheetLayoutView="70" workbookViewId="0">
      <selection activeCell="BA90" sqref="BA90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52"/>
      <c r="AR1" s="255"/>
      <c r="AS1" s="255"/>
      <c r="AT1" s="452"/>
      <c r="AU1" s="452"/>
      <c r="AV1" s="45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5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5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253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52"/>
      <c r="AR12" s="255"/>
      <c r="AS12" s="255"/>
      <c r="AT12" s="453"/>
      <c r="AU12" s="453"/>
      <c r="AV12" s="45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222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254</v>
      </c>
      <c r="AU14" s="681"/>
      <c r="AV14" s="681"/>
    </row>
    <row r="15" spans="1:48" s="94" customFormat="1" ht="40.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448" t="s">
        <v>77</v>
      </c>
      <c r="N16" s="448" t="s">
        <v>78</v>
      </c>
      <c r="O16" s="448" t="s">
        <v>77</v>
      </c>
      <c r="P16" s="448" t="s">
        <v>78</v>
      </c>
      <c r="Q16" s="448" t="s">
        <v>77</v>
      </c>
      <c r="R16" s="448" t="s">
        <v>78</v>
      </c>
      <c r="S16" s="448" t="s">
        <v>77</v>
      </c>
      <c r="T16" s="448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49" t="s">
        <v>77</v>
      </c>
      <c r="AE16" s="449" t="s">
        <v>78</v>
      </c>
      <c r="AF16" s="205" t="s">
        <v>77</v>
      </c>
      <c r="AG16" s="205" t="s">
        <v>78</v>
      </c>
      <c r="AH16" s="449" t="s">
        <v>77</v>
      </c>
      <c r="AI16" s="449" t="s">
        <v>78</v>
      </c>
      <c r="AJ16" s="97" t="s">
        <v>96</v>
      </c>
      <c r="AK16" s="96" t="s">
        <v>19</v>
      </c>
      <c r="AL16" s="450" t="s">
        <v>96</v>
      </c>
      <c r="AM16" s="450" t="s">
        <v>19</v>
      </c>
      <c r="AN16" s="216" t="s">
        <v>96</v>
      </c>
      <c r="AO16" s="216" t="s">
        <v>19</v>
      </c>
      <c r="AP16" s="207" t="s">
        <v>96</v>
      </c>
      <c r="AQ16" s="450" t="s">
        <v>96</v>
      </c>
      <c r="AR16" s="450" t="s">
        <v>107</v>
      </c>
      <c r="AS16" s="450" t="s">
        <v>19</v>
      </c>
      <c r="AT16" s="451" t="s">
        <v>96</v>
      </c>
      <c r="AU16" s="451" t="s">
        <v>19</v>
      </c>
      <c r="AV16" s="387" t="s">
        <v>223</v>
      </c>
    </row>
    <row r="17" spans="1:48" s="62" customFormat="1" ht="22.5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>
        <f>AD17+AF17+AH17</f>
        <v>0</v>
      </c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4" si="0">J18*K18</f>
        <v>0</v>
      </c>
      <c r="N18" s="243">
        <f t="shared" ref="N18:N86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v>1</v>
      </c>
      <c r="AO18" s="217">
        <f t="shared" ref="AO18:AO86" si="2">AC18+AK18-AM18</f>
        <v>1026.1600000000001</v>
      </c>
      <c r="AP18" s="232"/>
      <c r="AQ18" s="229"/>
      <c r="AR18" s="212">
        <v>1026.1600000000001</v>
      </c>
      <c r="AS18" s="212">
        <f t="shared" ref="AS18:AS90" si="3">AQ18*AR18</f>
        <v>0</v>
      </c>
      <c r="AT18" s="227">
        <v>1</v>
      </c>
      <c r="AU18" s="228">
        <f t="shared" ref="AU18:AU90" si="4">AT18*AR18</f>
        <v>1026.1600000000001</v>
      </c>
      <c r="AV18" s="279">
        <f t="shared" ref="AV18:AV86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K91" si="6">AD19+AF19+AH19</f>
        <v>0</v>
      </c>
      <c r="AK19" s="170">
        <f t="shared" si="6"/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/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/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/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/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customHeight="1">
      <c r="A24" s="59"/>
      <c r="B24" s="60"/>
      <c r="C24" s="60"/>
      <c r="D24" s="22"/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>
        <f t="shared" si="6"/>
        <v>0</v>
      </c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>
      <c r="A26" s="59"/>
      <c r="B26" s="60"/>
      <c r="C26" s="60"/>
      <c r="D26" s="22"/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>
        <f t="shared" si="6"/>
        <v>0</v>
      </c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customHeight="1">
      <c r="A28" s="59"/>
      <c r="B28" s="101"/>
      <c r="C28" s="101"/>
      <c r="D28" s="22"/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>
        <f t="shared" si="6"/>
        <v>0</v>
      </c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customHeight="1">
      <c r="A29" s="59"/>
      <c r="B29" s="101"/>
      <c r="C29" s="101"/>
      <c r="D29" s="22"/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>
        <f t="shared" si="6"/>
        <v>0</v>
      </c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customHeight="1">
      <c r="A30" s="283"/>
      <c r="B30" s="101"/>
      <c r="C30" s="101"/>
      <c r="D30" s="22"/>
      <c r="E30" s="104" t="s">
        <v>24</v>
      </c>
      <c r="F30" s="51" t="s">
        <v>238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customHeight="1">
      <c r="A31" s="283"/>
      <c r="B31" s="101"/>
      <c r="C31" s="101"/>
      <c r="D31" s="22"/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customHeight="1">
      <c r="A32" s="283"/>
      <c r="B32" s="101"/>
      <c r="C32" s="101"/>
      <c r="D32" s="22"/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customHeight="1">
      <c r="A33" s="59"/>
      <c r="B33" s="60"/>
      <c r="C33" s="60"/>
      <c r="D33" s="22"/>
      <c r="E33" s="79" t="s">
        <v>24</v>
      </c>
      <c r="F33" s="51" t="s">
        <v>247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>
        <f t="shared" si="6"/>
        <v>0</v>
      </c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33">
        <f>52-50-2</f>
        <v>0</v>
      </c>
      <c r="AU33" s="386">
        <f t="shared" si="4"/>
        <v>0</v>
      </c>
      <c r="AV33" s="233">
        <f t="shared" si="5"/>
        <v>0</v>
      </c>
    </row>
    <row r="34" spans="1:48" s="103" customFormat="1" ht="26.25" customHeight="1">
      <c r="A34" s="283"/>
      <c r="B34" s="101"/>
      <c r="C34" s="101"/>
      <c r="D34" s="22"/>
      <c r="E34" s="104" t="s">
        <v>24</v>
      </c>
      <c r="F34" s="51" t="s">
        <v>248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248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>
        <f t="shared" si="6"/>
        <v>0</v>
      </c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customHeight="1">
      <c r="A36" s="283"/>
      <c r="B36" s="101"/>
      <c r="C36" s="101"/>
      <c r="D36" s="22"/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/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105</v>
      </c>
      <c r="AU37" s="228">
        <f t="shared" si="4"/>
        <v>56198.100000000006</v>
      </c>
      <c r="AV37" s="279">
        <f t="shared" si="5"/>
        <v>105</v>
      </c>
    </row>
    <row r="38" spans="1:48" s="62" customFormat="1" ht="24" customHeight="1">
      <c r="A38" s="59"/>
      <c r="B38" s="60"/>
      <c r="C38" s="427"/>
      <c r="D38" s="428"/>
      <c r="E38" s="79"/>
      <c r="F38" s="162" t="s">
        <v>43</v>
      </c>
      <c r="G38" s="222" t="s">
        <v>163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243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3">
        <v>10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10</v>
      </c>
      <c r="AU38" s="228"/>
      <c r="AV38" s="279">
        <f t="shared" si="5"/>
        <v>10</v>
      </c>
    </row>
    <row r="39" spans="1:48" s="62" customFormat="1" ht="24" customHeight="1">
      <c r="A39" s="59"/>
      <c r="B39" s="60"/>
      <c r="C39" s="60"/>
      <c r="D39" s="22"/>
      <c r="E39" s="79" t="s">
        <v>24</v>
      </c>
      <c r="F39" s="51" t="s">
        <v>43</v>
      </c>
      <c r="G39" s="275" t="s">
        <v>163</v>
      </c>
      <c r="H39" s="115" t="s">
        <v>91</v>
      </c>
      <c r="I39" s="115" t="s">
        <v>91</v>
      </c>
      <c r="J39" s="115">
        <v>96</v>
      </c>
      <c r="K39" s="115">
        <v>2</v>
      </c>
      <c r="L39" s="276">
        <v>543.58000000000004</v>
      </c>
      <c r="M39" s="277">
        <f t="shared" si="0"/>
        <v>192</v>
      </c>
      <c r="N39" s="276">
        <f t="shared" si="1"/>
        <v>104367.36000000002</v>
      </c>
      <c r="O39" s="115">
        <v>250</v>
      </c>
      <c r="P39" s="276">
        <v>123662.5</v>
      </c>
      <c r="Q39" s="115">
        <v>231</v>
      </c>
      <c r="R39" s="276">
        <v>123617.34</v>
      </c>
      <c r="S39" s="115">
        <v>502</v>
      </c>
      <c r="T39" s="276">
        <v>272877.15999999997</v>
      </c>
      <c r="U39" s="278" t="s">
        <v>164</v>
      </c>
      <c r="V39" s="115">
        <v>834</v>
      </c>
      <c r="W39" s="114">
        <v>43222</v>
      </c>
      <c r="X39" s="115" t="s">
        <v>162</v>
      </c>
      <c r="Y39" s="221">
        <v>43242</v>
      </c>
      <c r="Z39" s="115"/>
      <c r="AA39" s="115"/>
      <c r="AB39" s="35">
        <v>0</v>
      </c>
      <c r="AC39" s="170">
        <v>0</v>
      </c>
      <c r="AD39" s="208">
        <v>15</v>
      </c>
      <c r="AE39" s="170">
        <v>8028.3</v>
      </c>
      <c r="AF39" s="208"/>
      <c r="AG39" s="170"/>
      <c r="AH39" s="208"/>
      <c r="AI39" s="170"/>
      <c r="AJ39" s="233">
        <f t="shared" si="6"/>
        <v>15</v>
      </c>
      <c r="AK39" s="170">
        <f t="shared" si="6"/>
        <v>8028.3</v>
      </c>
      <c r="AL39" s="270">
        <v>0</v>
      </c>
      <c r="AM39" s="170">
        <v>0</v>
      </c>
      <c r="AN39" s="270">
        <v>15</v>
      </c>
      <c r="AO39" s="170">
        <f t="shared" si="2"/>
        <v>8028.3</v>
      </c>
      <c r="AP39" s="233"/>
      <c r="AQ39" s="233"/>
      <c r="AR39" s="170">
        <v>535.22</v>
      </c>
      <c r="AS39" s="170">
        <f t="shared" si="3"/>
        <v>0</v>
      </c>
      <c r="AT39" s="233">
        <f>15-15</f>
        <v>0</v>
      </c>
      <c r="AU39" s="386">
        <f t="shared" si="4"/>
        <v>0</v>
      </c>
      <c r="AV39" s="233">
        <f t="shared" si="5"/>
        <v>0</v>
      </c>
    </row>
    <row r="40" spans="1:48" s="62" customFormat="1" ht="24" customHeight="1">
      <c r="A40" s="59"/>
      <c r="B40" s="60"/>
      <c r="C40" s="60"/>
      <c r="D40" s="22"/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204</v>
      </c>
      <c r="V40" s="115">
        <v>1405</v>
      </c>
      <c r="W40" s="114">
        <v>43052</v>
      </c>
      <c r="X40" s="115"/>
      <c r="Y40" s="115"/>
      <c r="Z40" s="115"/>
      <c r="AA40" s="115"/>
      <c r="AB40" s="35">
        <v>120</v>
      </c>
      <c r="AC40" s="170">
        <v>58734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6"/>
        <v>0</v>
      </c>
      <c r="AL40" s="270">
        <f>15+30+10+25+20+20</f>
        <v>120</v>
      </c>
      <c r="AM40" s="170">
        <f>7341.75+14683.5+4894.5+12236.25+9789</f>
        <v>48945</v>
      </c>
      <c r="AN40" s="270">
        <v>0</v>
      </c>
      <c r="AO40" s="170">
        <f t="shared" si="2"/>
        <v>9789</v>
      </c>
      <c r="AP40" s="233"/>
      <c r="AQ40" s="233"/>
      <c r="AR40" s="170">
        <v>489.45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8" s="62" customFormat="1" ht="24" customHeight="1">
      <c r="A41" s="59"/>
      <c r="B41" s="60"/>
      <c r="C41" s="60"/>
      <c r="D41" s="22"/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/>
      <c r="V41" s="115">
        <v>1476</v>
      </c>
      <c r="W41" s="114">
        <v>43066</v>
      </c>
      <c r="X41" s="115" t="s">
        <v>201</v>
      </c>
      <c r="Y41" s="221">
        <v>43068</v>
      </c>
      <c r="Z41" s="115" t="s">
        <v>210</v>
      </c>
      <c r="AA41" s="221">
        <v>43073</v>
      </c>
      <c r="AB41" s="35">
        <v>30</v>
      </c>
      <c r="AC41" s="170">
        <v>14683.5</v>
      </c>
      <c r="AD41" s="208"/>
      <c r="AE41" s="170"/>
      <c r="AF41" s="208"/>
      <c r="AG41" s="170"/>
      <c r="AH41" s="208"/>
      <c r="AI41" s="170"/>
      <c r="AJ41" s="233">
        <f t="shared" si="6"/>
        <v>0</v>
      </c>
      <c r="AK41" s="170">
        <f t="shared" si="6"/>
        <v>0</v>
      </c>
      <c r="AL41" s="270">
        <v>30</v>
      </c>
      <c r="AM41" s="170">
        <v>14683.5</v>
      </c>
      <c r="AN41" s="270">
        <v>0</v>
      </c>
      <c r="AO41" s="170">
        <f t="shared" si="2"/>
        <v>0</v>
      </c>
      <c r="AP41" s="233"/>
      <c r="AQ41" s="233"/>
      <c r="AR41" s="170"/>
      <c r="AS41" s="170">
        <f t="shared" si="3"/>
        <v>0</v>
      </c>
      <c r="AT41" s="208">
        <v>0</v>
      </c>
      <c r="AU41" s="170">
        <f t="shared" si="4"/>
        <v>0</v>
      </c>
      <c r="AV41" s="233">
        <f t="shared" si="5"/>
        <v>0</v>
      </c>
    </row>
    <row r="42" spans="1:48" s="62" customFormat="1" ht="24" customHeight="1">
      <c r="A42" s="59"/>
      <c r="B42" s="60"/>
      <c r="C42" s="60"/>
      <c r="D42" s="22"/>
      <c r="E42" s="79" t="s">
        <v>24</v>
      </c>
      <c r="F42" s="51" t="s">
        <v>48</v>
      </c>
      <c r="G42" s="275" t="s">
        <v>152</v>
      </c>
      <c r="H42" s="115" t="s">
        <v>91</v>
      </c>
      <c r="I42" s="115" t="s">
        <v>91</v>
      </c>
      <c r="J42" s="115">
        <v>360</v>
      </c>
      <c r="K42" s="115">
        <v>2</v>
      </c>
      <c r="L42" s="276">
        <v>497.09</v>
      </c>
      <c r="M42" s="277">
        <f t="shared" si="0"/>
        <v>720</v>
      </c>
      <c r="N42" s="276">
        <f t="shared" si="1"/>
        <v>357904.8</v>
      </c>
      <c r="O42" s="115">
        <v>150</v>
      </c>
      <c r="P42" s="276">
        <v>67861.5</v>
      </c>
      <c r="Q42" s="115">
        <v>300</v>
      </c>
      <c r="R42" s="276">
        <v>146787</v>
      </c>
      <c r="S42" s="115">
        <v>490</v>
      </c>
      <c r="T42" s="276">
        <v>243574.1</v>
      </c>
      <c r="U42" s="278" t="s">
        <v>151</v>
      </c>
      <c r="V42" s="115">
        <v>546</v>
      </c>
      <c r="W42" s="114">
        <v>43182</v>
      </c>
      <c r="X42" s="115" t="s">
        <v>149</v>
      </c>
      <c r="Y42" s="221">
        <v>43201</v>
      </c>
      <c r="Z42" s="115" t="s">
        <v>147</v>
      </c>
      <c r="AA42" s="221">
        <v>43252</v>
      </c>
      <c r="AB42" s="35">
        <v>0</v>
      </c>
      <c r="AC42" s="170">
        <v>0</v>
      </c>
      <c r="AD42" s="208">
        <v>65</v>
      </c>
      <c r="AE42" s="170">
        <v>31814.25</v>
      </c>
      <c r="AF42" s="208"/>
      <c r="AG42" s="170"/>
      <c r="AH42" s="208"/>
      <c r="AI42" s="170"/>
      <c r="AJ42" s="233">
        <f t="shared" si="6"/>
        <v>65</v>
      </c>
      <c r="AK42" s="170">
        <f t="shared" si="6"/>
        <v>31814.25</v>
      </c>
      <c r="AL42" s="270">
        <v>0</v>
      </c>
      <c r="AM42" s="170">
        <v>0</v>
      </c>
      <c r="AN42" s="270">
        <v>65</v>
      </c>
      <c r="AO42" s="170">
        <f t="shared" si="2"/>
        <v>31814.25</v>
      </c>
      <c r="AP42" s="233"/>
      <c r="AQ42" s="233"/>
      <c r="AR42" s="170">
        <v>489.45</v>
      </c>
      <c r="AS42" s="170">
        <f t="shared" si="3"/>
        <v>0</v>
      </c>
      <c r="AT42" s="233">
        <f>35-35</f>
        <v>0</v>
      </c>
      <c r="AU42" s="386">
        <f t="shared" si="4"/>
        <v>0</v>
      </c>
      <c r="AV42" s="233">
        <f t="shared" si="5"/>
        <v>0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1" t="s">
        <v>44</v>
      </c>
      <c r="G43" s="275" t="s">
        <v>116</v>
      </c>
      <c r="H43" s="115" t="s">
        <v>91</v>
      </c>
      <c r="I43" s="115" t="s">
        <v>91</v>
      </c>
      <c r="J43" s="115">
        <v>1750</v>
      </c>
      <c r="K43" s="115">
        <v>2</v>
      </c>
      <c r="L43" s="276">
        <v>199.06</v>
      </c>
      <c r="M43" s="277">
        <f t="shared" si="0"/>
        <v>3500</v>
      </c>
      <c r="N43" s="276">
        <f t="shared" si="1"/>
        <v>696710</v>
      </c>
      <c r="O43" s="115">
        <v>1000</v>
      </c>
      <c r="P43" s="276">
        <v>255340</v>
      </c>
      <c r="Q43" s="115"/>
      <c r="R43" s="276"/>
      <c r="S43" s="115">
        <v>368</v>
      </c>
      <c r="T43" s="276">
        <v>73254.080000000002</v>
      </c>
      <c r="U43" s="278" t="s">
        <v>119</v>
      </c>
      <c r="V43" s="115">
        <v>1583</v>
      </c>
      <c r="W43" s="114">
        <v>43082</v>
      </c>
      <c r="X43" s="115" t="s">
        <v>113</v>
      </c>
      <c r="Y43" s="221">
        <v>43109</v>
      </c>
      <c r="Z43" s="115" t="s">
        <v>110</v>
      </c>
      <c r="AA43" s="221">
        <v>43111</v>
      </c>
      <c r="AB43" s="22">
        <v>0</v>
      </c>
      <c r="AC43" s="170">
        <v>0</v>
      </c>
      <c r="AD43" s="208">
        <v>50</v>
      </c>
      <c r="AE43" s="170">
        <v>10109</v>
      </c>
      <c r="AF43" s="208"/>
      <c r="AG43" s="170"/>
      <c r="AH43" s="208"/>
      <c r="AI43" s="170"/>
      <c r="AJ43" s="233">
        <f t="shared" si="6"/>
        <v>50</v>
      </c>
      <c r="AK43" s="170">
        <f t="shared" si="6"/>
        <v>10109</v>
      </c>
      <c r="AL43" s="270">
        <v>10</v>
      </c>
      <c r="AM43" s="170">
        <f>AL43*AR43</f>
        <v>2021.8000000000002</v>
      </c>
      <c r="AN43" s="270">
        <v>40</v>
      </c>
      <c r="AO43" s="170">
        <f t="shared" si="2"/>
        <v>8087.2</v>
      </c>
      <c r="AP43" s="233"/>
      <c r="AQ43" s="233"/>
      <c r="AR43" s="170">
        <v>202.18</v>
      </c>
      <c r="AS43" s="170">
        <f t="shared" si="3"/>
        <v>0</v>
      </c>
      <c r="AT43" s="233">
        <v>0</v>
      </c>
      <c r="AU43" s="386">
        <f t="shared" si="4"/>
        <v>0</v>
      </c>
      <c r="AV43" s="233">
        <f t="shared" si="5"/>
        <v>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1" t="s">
        <v>54</v>
      </c>
      <c r="G44" s="275" t="s">
        <v>116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119</v>
      </c>
      <c r="V44" s="115">
        <v>1745</v>
      </c>
      <c r="W44" s="114">
        <v>43096</v>
      </c>
      <c r="X44" s="115" t="s">
        <v>117</v>
      </c>
      <c r="Y44" s="221">
        <v>43109</v>
      </c>
      <c r="Z44" s="115" t="s">
        <v>118</v>
      </c>
      <c r="AA44" s="221">
        <v>43133</v>
      </c>
      <c r="AB44" s="22">
        <v>0</v>
      </c>
      <c r="AC44" s="170">
        <v>0</v>
      </c>
      <c r="AD44" s="208">
        <v>45</v>
      </c>
      <c r="AE44" s="170">
        <v>9098.1</v>
      </c>
      <c r="AF44" s="208"/>
      <c r="AG44" s="170"/>
      <c r="AH44" s="208"/>
      <c r="AI44" s="170"/>
      <c r="AJ44" s="233">
        <f t="shared" si="6"/>
        <v>45</v>
      </c>
      <c r="AK44" s="170">
        <f t="shared" si="6"/>
        <v>9098.1</v>
      </c>
      <c r="AL44" s="270">
        <v>0</v>
      </c>
      <c r="AM44" s="170">
        <v>0</v>
      </c>
      <c r="AN44" s="270">
        <v>45</v>
      </c>
      <c r="AO44" s="170">
        <f t="shared" si="2"/>
        <v>9098.1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1" t="s">
        <v>44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134</v>
      </c>
      <c r="V45" s="115">
        <v>426</v>
      </c>
      <c r="W45" s="114">
        <v>43164</v>
      </c>
      <c r="X45" s="115" t="s">
        <v>141</v>
      </c>
      <c r="Y45" s="221">
        <v>43164</v>
      </c>
      <c r="Z45" s="115" t="s">
        <v>142</v>
      </c>
      <c r="AA45" s="221">
        <v>43230</v>
      </c>
      <c r="AB45" s="22">
        <v>0</v>
      </c>
      <c r="AC45" s="170">
        <v>0</v>
      </c>
      <c r="AD45" s="208">
        <v>50</v>
      </c>
      <c r="AE45" s="170">
        <v>10109</v>
      </c>
      <c r="AF45" s="208"/>
      <c r="AG45" s="170"/>
      <c r="AH45" s="208"/>
      <c r="AI45" s="170"/>
      <c r="AJ45" s="233">
        <f t="shared" si="6"/>
        <v>50</v>
      </c>
      <c r="AK45" s="170">
        <f t="shared" si="6"/>
        <v>10109</v>
      </c>
      <c r="AL45" s="270">
        <v>0</v>
      </c>
      <c r="AM45" s="170">
        <v>0</v>
      </c>
      <c r="AN45" s="270">
        <v>50</v>
      </c>
      <c r="AO45" s="170">
        <f t="shared" si="2"/>
        <v>10109</v>
      </c>
      <c r="AP45" s="233"/>
      <c r="AQ45" s="233"/>
      <c r="AR45" s="170">
        <v>202.18</v>
      </c>
      <c r="AS45" s="170">
        <f t="shared" si="3"/>
        <v>0</v>
      </c>
      <c r="AT45" s="233">
        <v>0</v>
      </c>
      <c r="AU45" s="386">
        <f t="shared" si="4"/>
        <v>0</v>
      </c>
      <c r="AV45" s="233">
        <f t="shared" si="5"/>
        <v>0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134</v>
      </c>
      <c r="V46" s="115">
        <v>260</v>
      </c>
      <c r="W46" s="114">
        <v>43145</v>
      </c>
      <c r="X46" s="115" t="s">
        <v>94</v>
      </c>
      <c r="Y46" s="221">
        <v>43164</v>
      </c>
      <c r="Z46" s="115"/>
      <c r="AA46" s="115"/>
      <c r="AB46" s="22">
        <v>0</v>
      </c>
      <c r="AC46" s="170">
        <v>0</v>
      </c>
      <c r="AD46" s="208">
        <v>110</v>
      </c>
      <c r="AE46" s="170">
        <v>22239.8</v>
      </c>
      <c r="AF46" s="208"/>
      <c r="AG46" s="170"/>
      <c r="AH46" s="208"/>
      <c r="AI46" s="170"/>
      <c r="AJ46" s="233">
        <f t="shared" si="6"/>
        <v>110</v>
      </c>
      <c r="AK46" s="170">
        <f t="shared" si="6"/>
        <v>22239.8</v>
      </c>
      <c r="AL46" s="270">
        <v>0</v>
      </c>
      <c r="AM46" s="170">
        <v>0</v>
      </c>
      <c r="AN46" s="270">
        <v>110</v>
      </c>
      <c r="AO46" s="170">
        <f t="shared" si="2"/>
        <v>22239.8</v>
      </c>
      <c r="AP46" s="233"/>
      <c r="AQ46" s="233"/>
      <c r="AR46" s="170">
        <v>202.18</v>
      </c>
      <c r="AS46" s="170">
        <f t="shared" si="3"/>
        <v>0</v>
      </c>
      <c r="AT46" s="233">
        <f>25-25</f>
        <v>0</v>
      </c>
      <c r="AU46" s="386">
        <f t="shared" si="4"/>
        <v>0</v>
      </c>
      <c r="AV46" s="233">
        <f t="shared" si="5"/>
        <v>0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150</v>
      </c>
      <c r="V47" s="115">
        <v>546</v>
      </c>
      <c r="W47" s="114">
        <v>43182</v>
      </c>
      <c r="X47" s="115" t="s">
        <v>149</v>
      </c>
      <c r="Y47" s="221">
        <v>43201</v>
      </c>
      <c r="Z47" s="115" t="s">
        <v>147</v>
      </c>
      <c r="AA47" s="221">
        <v>43252</v>
      </c>
      <c r="AB47" s="22">
        <v>0</v>
      </c>
      <c r="AC47" s="170">
        <v>0</v>
      </c>
      <c r="AD47" s="208">
        <v>105</v>
      </c>
      <c r="AE47" s="170">
        <v>21228.9</v>
      </c>
      <c r="AF47" s="208"/>
      <c r="AG47" s="170"/>
      <c r="AH47" s="208"/>
      <c r="AI47" s="170"/>
      <c r="AJ47" s="233">
        <f t="shared" si="6"/>
        <v>105</v>
      </c>
      <c r="AK47" s="170">
        <f t="shared" si="6"/>
        <v>21228.9</v>
      </c>
      <c r="AL47" s="270">
        <v>0</v>
      </c>
      <c r="AM47" s="170">
        <v>0</v>
      </c>
      <c r="AN47" s="270">
        <v>105</v>
      </c>
      <c r="AO47" s="170">
        <f t="shared" si="2"/>
        <v>21228.9</v>
      </c>
      <c r="AP47" s="233"/>
      <c r="AQ47" s="233"/>
      <c r="AR47" s="170">
        <v>202.18</v>
      </c>
      <c r="AS47" s="170">
        <f t="shared" si="3"/>
        <v>0</v>
      </c>
      <c r="AT47" s="233">
        <f>105-105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150</v>
      </c>
      <c r="V48" s="115">
        <v>659</v>
      </c>
      <c r="W48" s="114">
        <v>43201</v>
      </c>
      <c r="X48" s="115" t="s">
        <v>159</v>
      </c>
      <c r="Y48" s="221">
        <v>43213</v>
      </c>
      <c r="Z48" s="115" t="s">
        <v>160</v>
      </c>
      <c r="AA48" s="221">
        <v>43255</v>
      </c>
      <c r="AB48" s="22">
        <v>0</v>
      </c>
      <c r="AC48" s="170">
        <v>0</v>
      </c>
      <c r="AD48" s="208">
        <v>80</v>
      </c>
      <c r="AE48" s="170">
        <v>16174.4</v>
      </c>
      <c r="AF48" s="208"/>
      <c r="AG48" s="170"/>
      <c r="AH48" s="208"/>
      <c r="AI48" s="170"/>
      <c r="AJ48" s="233">
        <f t="shared" si="6"/>
        <v>80</v>
      </c>
      <c r="AK48" s="170">
        <f t="shared" si="6"/>
        <v>16174.4</v>
      </c>
      <c r="AL48" s="270">
        <v>0</v>
      </c>
      <c r="AM48" s="170">
        <v>0</v>
      </c>
      <c r="AN48" s="270">
        <v>80</v>
      </c>
      <c r="AO48" s="170">
        <f t="shared" si="2"/>
        <v>16174.4</v>
      </c>
      <c r="AP48" s="233"/>
      <c r="AQ48" s="233"/>
      <c r="AR48" s="170">
        <v>202.18</v>
      </c>
      <c r="AS48" s="170">
        <f t="shared" si="3"/>
        <v>0</v>
      </c>
      <c r="AT48" s="233">
        <f>80-80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169</v>
      </c>
      <c r="V49" s="115">
        <v>834</v>
      </c>
      <c r="W49" s="114">
        <v>43222</v>
      </c>
      <c r="X49" s="115" t="s">
        <v>162</v>
      </c>
      <c r="Y49" s="221">
        <v>43242</v>
      </c>
      <c r="Z49" s="115"/>
      <c r="AA49" s="115"/>
      <c r="AB49" s="35">
        <v>0</v>
      </c>
      <c r="AC49" s="170">
        <v>0</v>
      </c>
      <c r="AD49" s="208">
        <v>95</v>
      </c>
      <c r="AE49" s="170">
        <v>19207.099999999999</v>
      </c>
      <c r="AF49" s="208"/>
      <c r="AG49" s="170"/>
      <c r="AH49" s="208"/>
      <c r="AI49" s="170"/>
      <c r="AJ49" s="233">
        <f t="shared" si="6"/>
        <v>95</v>
      </c>
      <c r="AK49" s="170">
        <f t="shared" si="6"/>
        <v>19207.099999999999</v>
      </c>
      <c r="AL49" s="270">
        <v>0</v>
      </c>
      <c r="AM49" s="170">
        <v>0</v>
      </c>
      <c r="AN49" s="270">
        <v>95</v>
      </c>
      <c r="AO49" s="170">
        <f t="shared" si="2"/>
        <v>19207.099999999999</v>
      </c>
      <c r="AP49" s="233"/>
      <c r="AQ49" s="233"/>
      <c r="AR49" s="170">
        <v>202.18</v>
      </c>
      <c r="AS49" s="170">
        <f>AQ49*AR49</f>
        <v>0</v>
      </c>
      <c r="AT49" s="233">
        <f>95-45-50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1" t="s">
        <v>44</v>
      </c>
      <c r="G50" s="275" t="s">
        <v>116</v>
      </c>
      <c r="H50" s="115" t="s">
        <v>91</v>
      </c>
      <c r="I50" s="115" t="s">
        <v>91</v>
      </c>
      <c r="J50" s="115"/>
      <c r="K50" s="115"/>
      <c r="L50" s="276"/>
      <c r="M50" s="277">
        <f t="shared" si="0"/>
        <v>0</v>
      </c>
      <c r="N50" s="276">
        <f t="shared" si="1"/>
        <v>0</v>
      </c>
      <c r="O50" s="115"/>
      <c r="P50" s="276"/>
      <c r="Q50" s="115"/>
      <c r="R50" s="276"/>
      <c r="S50" s="115"/>
      <c r="T50" s="276"/>
      <c r="U50" s="278" t="s">
        <v>180</v>
      </c>
      <c r="V50" s="115">
        <v>1006</v>
      </c>
      <c r="W50" s="114">
        <v>43244</v>
      </c>
      <c r="X50" s="115" t="s">
        <v>179</v>
      </c>
      <c r="Y50" s="221">
        <v>43285</v>
      </c>
      <c r="Z50" s="115"/>
      <c r="AA50" s="115"/>
      <c r="AB50" s="35">
        <v>0</v>
      </c>
      <c r="AC50" s="170">
        <v>0</v>
      </c>
      <c r="AD50" s="208">
        <v>20</v>
      </c>
      <c r="AE50" s="170">
        <v>3920</v>
      </c>
      <c r="AF50" s="208"/>
      <c r="AG50" s="170"/>
      <c r="AH50" s="208"/>
      <c r="AI50" s="170"/>
      <c r="AJ50" s="233">
        <f t="shared" si="6"/>
        <v>20</v>
      </c>
      <c r="AK50" s="170">
        <f t="shared" si="6"/>
        <v>3920</v>
      </c>
      <c r="AL50" s="270">
        <v>0</v>
      </c>
      <c r="AM50" s="170">
        <v>0</v>
      </c>
      <c r="AN50" s="270">
        <v>20</v>
      </c>
      <c r="AO50" s="170">
        <f t="shared" si="2"/>
        <v>3920</v>
      </c>
      <c r="AP50" s="233"/>
      <c r="AQ50" s="233"/>
      <c r="AR50" s="170">
        <v>196</v>
      </c>
      <c r="AS50" s="170">
        <f t="shared" si="3"/>
        <v>0</v>
      </c>
      <c r="AT50" s="233">
        <f>20-20</f>
        <v>0</v>
      </c>
      <c r="AU50" s="386">
        <f t="shared" si="4"/>
        <v>0</v>
      </c>
      <c r="AV50" s="233">
        <f t="shared" si="5"/>
        <v>0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176</v>
      </c>
      <c r="V51" s="115">
        <v>877</v>
      </c>
      <c r="W51" s="114">
        <v>43230</v>
      </c>
      <c r="X51" s="193" t="s">
        <v>174</v>
      </c>
      <c r="Y51" s="200">
        <v>43285</v>
      </c>
      <c r="Z51" s="193"/>
      <c r="AA51" s="193"/>
      <c r="AB51" s="35">
        <v>0</v>
      </c>
      <c r="AC51" s="170">
        <v>0</v>
      </c>
      <c r="AD51" s="209">
        <v>225</v>
      </c>
      <c r="AE51" s="194">
        <v>45490.5</v>
      </c>
      <c r="AF51" s="209"/>
      <c r="AG51" s="194"/>
      <c r="AH51" s="209"/>
      <c r="AI51" s="194"/>
      <c r="AJ51" s="233">
        <f t="shared" si="6"/>
        <v>225</v>
      </c>
      <c r="AK51" s="170">
        <f t="shared" si="6"/>
        <v>45490.5</v>
      </c>
      <c r="AL51" s="272">
        <v>0</v>
      </c>
      <c r="AM51" s="212">
        <v>0</v>
      </c>
      <c r="AN51" s="269">
        <v>225</v>
      </c>
      <c r="AO51" s="217">
        <f t="shared" si="2"/>
        <v>45490.5</v>
      </c>
      <c r="AP51" s="232"/>
      <c r="AQ51" s="229"/>
      <c r="AR51" s="212">
        <v>202.18</v>
      </c>
      <c r="AS51" s="212">
        <f t="shared" si="3"/>
        <v>0</v>
      </c>
      <c r="AT51" s="261">
        <f>225-130-95</f>
        <v>0</v>
      </c>
      <c r="AU51" s="228">
        <f t="shared" si="4"/>
        <v>0</v>
      </c>
      <c r="AV51" s="279">
        <f t="shared" si="5"/>
        <v>0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149" t="s">
        <v>44</v>
      </c>
      <c r="G52" s="222" t="s">
        <v>116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186</v>
      </c>
      <c r="V52" s="115">
        <v>1418</v>
      </c>
      <c r="W52" s="114">
        <v>43312</v>
      </c>
      <c r="X52" s="193" t="s">
        <v>184</v>
      </c>
      <c r="Y52" s="200">
        <v>43332</v>
      </c>
      <c r="Z52" s="193" t="s">
        <v>185</v>
      </c>
      <c r="AA52" s="200">
        <v>43320</v>
      </c>
      <c r="AB52" s="22">
        <v>0</v>
      </c>
      <c r="AC52" s="170">
        <v>0</v>
      </c>
      <c r="AD52" s="209">
        <v>55</v>
      </c>
      <c r="AE52" s="194">
        <v>10780</v>
      </c>
      <c r="AF52" s="209"/>
      <c r="AG52" s="194"/>
      <c r="AH52" s="209"/>
      <c r="AI52" s="194"/>
      <c r="AJ52" s="233">
        <f t="shared" si="6"/>
        <v>55</v>
      </c>
      <c r="AK52" s="170">
        <f t="shared" si="6"/>
        <v>10780</v>
      </c>
      <c r="AL52" s="272">
        <v>0</v>
      </c>
      <c r="AM52" s="212">
        <v>0</v>
      </c>
      <c r="AN52" s="269">
        <v>55</v>
      </c>
      <c r="AO52" s="217">
        <v>0</v>
      </c>
      <c r="AP52" s="232"/>
      <c r="AQ52" s="229"/>
      <c r="AR52" s="212">
        <v>196</v>
      </c>
      <c r="AS52" s="212">
        <f t="shared" si="3"/>
        <v>0</v>
      </c>
      <c r="AT52" s="261">
        <f>55-15</f>
        <v>40</v>
      </c>
      <c r="AU52" s="228">
        <f t="shared" si="4"/>
        <v>7840</v>
      </c>
      <c r="AV52" s="279">
        <f t="shared" si="5"/>
        <v>40</v>
      </c>
    </row>
    <row r="53" spans="1:48" s="62" customFormat="1" ht="26.25" customHeight="1">
      <c r="A53" s="59"/>
      <c r="B53" s="60"/>
      <c r="C53" s="60"/>
      <c r="D53" s="22"/>
      <c r="E53" s="79"/>
      <c r="F53" s="149" t="s">
        <v>44</v>
      </c>
      <c r="G53" s="222" t="s">
        <v>116</v>
      </c>
      <c r="H53" s="193"/>
      <c r="I53" s="193"/>
      <c r="J53" s="193"/>
      <c r="K53" s="193"/>
      <c r="L53" s="243"/>
      <c r="M53" s="242"/>
      <c r="N53" s="243"/>
      <c r="O53" s="193"/>
      <c r="P53" s="243"/>
      <c r="Q53" s="193"/>
      <c r="R53" s="243"/>
      <c r="S53" s="193"/>
      <c r="T53" s="243"/>
      <c r="U53" s="203"/>
      <c r="V53" s="115"/>
      <c r="W53" s="114"/>
      <c r="X53" s="193"/>
      <c r="Y53" s="200"/>
      <c r="Z53" s="193"/>
      <c r="AA53" s="200"/>
      <c r="AB53" s="22"/>
      <c r="AC53" s="170"/>
      <c r="AD53" s="209"/>
      <c r="AE53" s="194"/>
      <c r="AF53" s="209"/>
      <c r="AG53" s="194"/>
      <c r="AH53" s="209"/>
      <c r="AI53" s="194"/>
      <c r="AJ53" s="233">
        <v>15</v>
      </c>
      <c r="AK53" s="170"/>
      <c r="AL53" s="272"/>
      <c r="AM53" s="212"/>
      <c r="AN53" s="269"/>
      <c r="AO53" s="217"/>
      <c r="AP53" s="232"/>
      <c r="AQ53" s="229"/>
      <c r="AR53" s="212"/>
      <c r="AS53" s="212"/>
      <c r="AT53" s="227">
        <v>15</v>
      </c>
      <c r="AU53" s="228"/>
      <c r="AV53" s="279">
        <v>15</v>
      </c>
    </row>
    <row r="54" spans="1:48" s="62" customFormat="1" ht="27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1625</v>
      </c>
      <c r="W54" s="114">
        <v>43087</v>
      </c>
      <c r="X54" s="115" t="s">
        <v>109</v>
      </c>
      <c r="Y54" s="221">
        <v>43109</v>
      </c>
      <c r="Z54" s="115" t="s">
        <v>110</v>
      </c>
      <c r="AA54" s="221">
        <v>43111</v>
      </c>
      <c r="AB54" s="22">
        <v>0</v>
      </c>
      <c r="AC54" s="170">
        <v>0</v>
      </c>
      <c r="AD54" s="208">
        <v>5</v>
      </c>
      <c r="AE54" s="170">
        <v>1010.9</v>
      </c>
      <c r="AF54" s="208"/>
      <c r="AG54" s="170"/>
      <c r="AH54" s="208"/>
      <c r="AI54" s="170"/>
      <c r="AJ54" s="233">
        <f t="shared" si="6"/>
        <v>5</v>
      </c>
      <c r="AK54" s="170">
        <f t="shared" si="6"/>
        <v>1010.9</v>
      </c>
      <c r="AL54" s="270">
        <v>5</v>
      </c>
      <c r="AM54" s="170">
        <v>1010.9</v>
      </c>
      <c r="AN54" s="270">
        <v>0</v>
      </c>
      <c r="AO54" s="170">
        <f t="shared" si="2"/>
        <v>0</v>
      </c>
      <c r="AP54" s="233"/>
      <c r="AQ54" s="233"/>
      <c r="AR54" s="170"/>
      <c r="AS54" s="170">
        <f t="shared" si="3"/>
        <v>0</v>
      </c>
      <c r="AT54" s="208">
        <v>0</v>
      </c>
      <c r="AU54" s="170">
        <f t="shared" si="4"/>
        <v>0</v>
      </c>
      <c r="AV54" s="233">
        <f t="shared" si="5"/>
        <v>0</v>
      </c>
    </row>
    <row r="55" spans="1:48" s="62" customFormat="1" ht="27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>
        <v>2016</v>
      </c>
      <c r="K55" s="115">
        <v>2</v>
      </c>
      <c r="L55" s="276">
        <v>199.06</v>
      </c>
      <c r="M55" s="277">
        <f t="shared" si="0"/>
        <v>4032</v>
      </c>
      <c r="N55" s="276">
        <f t="shared" si="1"/>
        <v>802609.92</v>
      </c>
      <c r="O55" s="115">
        <v>4130</v>
      </c>
      <c r="P55" s="276">
        <v>1054554.2</v>
      </c>
      <c r="Q55" s="115"/>
      <c r="R55" s="276"/>
      <c r="S55" s="115"/>
      <c r="T55" s="276"/>
      <c r="U55" s="278" t="s">
        <v>112</v>
      </c>
      <c r="V55" s="115">
        <v>1583</v>
      </c>
      <c r="W55" s="114">
        <v>43082</v>
      </c>
      <c r="X55" s="115" t="s">
        <v>113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490</v>
      </c>
      <c r="AE55" s="170">
        <v>99068.2</v>
      </c>
      <c r="AF55" s="208"/>
      <c r="AG55" s="170"/>
      <c r="AH55" s="208"/>
      <c r="AI55" s="170"/>
      <c r="AJ55" s="233">
        <f t="shared" si="6"/>
        <v>490</v>
      </c>
      <c r="AK55" s="170">
        <f t="shared" si="6"/>
        <v>99068.2</v>
      </c>
      <c r="AL55" s="270">
        <f>135+130+130</f>
        <v>395</v>
      </c>
      <c r="AM55" s="170">
        <f>AL55*AR55</f>
        <v>79861.100000000006</v>
      </c>
      <c r="AN55" s="270">
        <v>95</v>
      </c>
      <c r="AO55" s="170">
        <f t="shared" si="2"/>
        <v>19207.099999999991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f t="shared" si="5"/>
        <v>0</v>
      </c>
    </row>
    <row r="56" spans="1:48" s="62" customFormat="1" ht="27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112</v>
      </c>
      <c r="V56" s="115">
        <v>1745</v>
      </c>
      <c r="W56" s="114">
        <v>43096</v>
      </c>
      <c r="X56" s="115" t="s">
        <v>117</v>
      </c>
      <c r="Y56" s="221">
        <v>43109</v>
      </c>
      <c r="Z56" s="115" t="s">
        <v>118</v>
      </c>
      <c r="AA56" s="221">
        <v>43133</v>
      </c>
      <c r="AB56" s="22">
        <v>0</v>
      </c>
      <c r="AC56" s="170">
        <v>0</v>
      </c>
      <c r="AD56" s="208">
        <v>195</v>
      </c>
      <c r="AE56" s="170">
        <v>39425.1</v>
      </c>
      <c r="AF56" s="208"/>
      <c r="AG56" s="170"/>
      <c r="AH56" s="208"/>
      <c r="AI56" s="170"/>
      <c r="AJ56" s="233">
        <f t="shared" si="6"/>
        <v>195</v>
      </c>
      <c r="AK56" s="170">
        <f t="shared" si="6"/>
        <v>39425.1</v>
      </c>
      <c r="AL56" s="270">
        <v>0</v>
      </c>
      <c r="AM56" s="170">
        <v>0</v>
      </c>
      <c r="AN56" s="270">
        <v>195</v>
      </c>
      <c r="AO56" s="170">
        <f t="shared" si="2"/>
        <v>39425.1</v>
      </c>
      <c r="AP56" s="233"/>
      <c r="AQ56" s="233"/>
      <c r="AR56" s="170">
        <v>202.18</v>
      </c>
      <c r="AS56" s="170">
        <f t="shared" si="3"/>
        <v>0</v>
      </c>
      <c r="AT56" s="233">
        <f>160-140-20</f>
        <v>0</v>
      </c>
      <c r="AU56" s="386">
        <f t="shared" si="4"/>
        <v>0</v>
      </c>
      <c r="AV56" s="233">
        <f t="shared" si="5"/>
        <v>0</v>
      </c>
    </row>
    <row r="57" spans="1:48" s="62" customFormat="1" ht="26.25" customHeight="1">
      <c r="A57" s="59"/>
      <c r="B57" s="60"/>
      <c r="C57" s="60"/>
      <c r="D57" s="22"/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133</v>
      </c>
      <c r="V57" s="115">
        <v>426</v>
      </c>
      <c r="W57" s="114">
        <v>43164</v>
      </c>
      <c r="X57" s="193" t="s">
        <v>141</v>
      </c>
      <c r="Y57" s="200">
        <v>43164</v>
      </c>
      <c r="Z57" s="193" t="s">
        <v>142</v>
      </c>
      <c r="AA57" s="200">
        <v>43230</v>
      </c>
      <c r="AB57" s="22">
        <v>0</v>
      </c>
      <c r="AC57" s="170">
        <v>0</v>
      </c>
      <c r="AD57" s="209">
        <v>170</v>
      </c>
      <c r="AE57" s="194">
        <v>34370.6</v>
      </c>
      <c r="AF57" s="209"/>
      <c r="AG57" s="194"/>
      <c r="AH57" s="209"/>
      <c r="AI57" s="194"/>
      <c r="AJ57" s="233">
        <f t="shared" si="6"/>
        <v>170</v>
      </c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61">
        <f>170-110-60</f>
        <v>0</v>
      </c>
      <c r="AU57" s="228">
        <f t="shared" si="4"/>
        <v>0</v>
      </c>
      <c r="AV57" s="279">
        <f t="shared" si="5"/>
        <v>0</v>
      </c>
    </row>
    <row r="58" spans="1:48" s="62" customFormat="1" ht="26.25" customHeight="1">
      <c r="A58" s="59"/>
      <c r="B58" s="60"/>
      <c r="C58" s="60"/>
      <c r="D58" s="22"/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234</v>
      </c>
      <c r="W58" s="114">
        <v>43143</v>
      </c>
      <c r="X58" s="193" t="s">
        <v>143</v>
      </c>
      <c r="Y58" s="200">
        <v>43164</v>
      </c>
      <c r="Z58" s="193"/>
      <c r="AA58" s="193"/>
      <c r="AB58" s="22">
        <v>0</v>
      </c>
      <c r="AC58" s="170">
        <v>0</v>
      </c>
      <c r="AD58" s="209">
        <v>320</v>
      </c>
      <c r="AE58" s="194">
        <v>64697.599999999999</v>
      </c>
      <c r="AF58" s="209"/>
      <c r="AG58" s="194"/>
      <c r="AH58" s="209"/>
      <c r="AI58" s="194"/>
      <c r="AJ58" s="233">
        <f t="shared" si="6"/>
        <v>320</v>
      </c>
      <c r="AK58" s="170">
        <f t="shared" si="6"/>
        <v>64697.599999999999</v>
      </c>
      <c r="AL58" s="272">
        <v>0</v>
      </c>
      <c r="AM58" s="212">
        <v>0</v>
      </c>
      <c r="AN58" s="269">
        <v>320</v>
      </c>
      <c r="AO58" s="217">
        <f t="shared" si="2"/>
        <v>64697.599999999999</v>
      </c>
      <c r="AP58" s="232"/>
      <c r="AQ58" s="229"/>
      <c r="AR58" s="212">
        <v>202.18</v>
      </c>
      <c r="AS58" s="212">
        <f t="shared" si="3"/>
        <v>0</v>
      </c>
      <c r="AT58" s="261">
        <f>320-70-50</f>
        <v>200</v>
      </c>
      <c r="AU58" s="228">
        <f t="shared" si="4"/>
        <v>40436</v>
      </c>
      <c r="AV58" s="279">
        <f t="shared" si="5"/>
        <v>200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132</v>
      </c>
      <c r="V59" s="115">
        <v>234</v>
      </c>
      <c r="W59" s="114">
        <v>43143</v>
      </c>
      <c r="X59" s="193" t="s">
        <v>143</v>
      </c>
      <c r="Y59" s="200">
        <v>43164</v>
      </c>
      <c r="Z59" s="193"/>
      <c r="AA59" s="193"/>
      <c r="AB59" s="22">
        <v>0</v>
      </c>
      <c r="AC59" s="170">
        <v>0</v>
      </c>
      <c r="AD59" s="209">
        <v>15</v>
      </c>
      <c r="AE59" s="194">
        <v>3032.7</v>
      </c>
      <c r="AF59" s="209"/>
      <c r="AG59" s="194"/>
      <c r="AH59" s="209"/>
      <c r="AI59" s="194"/>
      <c r="AJ59" s="233">
        <f t="shared" si="6"/>
        <v>15</v>
      </c>
      <c r="AK59" s="170">
        <f t="shared" si="6"/>
        <v>3032.7</v>
      </c>
      <c r="AL59" s="272">
        <v>0</v>
      </c>
      <c r="AM59" s="212">
        <v>0</v>
      </c>
      <c r="AN59" s="269">
        <v>15</v>
      </c>
      <c r="AO59" s="217">
        <f t="shared" si="2"/>
        <v>3032.7</v>
      </c>
      <c r="AP59" s="232"/>
      <c r="AQ59" s="229"/>
      <c r="AR59" s="212">
        <v>202.18</v>
      </c>
      <c r="AS59" s="212">
        <f t="shared" si="3"/>
        <v>0</v>
      </c>
      <c r="AT59" s="227">
        <v>15</v>
      </c>
      <c r="AU59" s="228">
        <f t="shared" si="4"/>
        <v>3032.7000000000003</v>
      </c>
      <c r="AV59" s="279">
        <f t="shared" si="5"/>
        <v>15</v>
      </c>
    </row>
    <row r="60" spans="1:48" s="62" customFormat="1" ht="27" customHeight="1">
      <c r="A60" s="59"/>
      <c r="B60" s="60"/>
      <c r="C60" s="60"/>
      <c r="D60" s="22"/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133</v>
      </c>
      <c r="V60" s="115">
        <v>356</v>
      </c>
      <c r="W60" s="114">
        <v>43159</v>
      </c>
      <c r="X60" s="193" t="s">
        <v>136</v>
      </c>
      <c r="Y60" s="200">
        <v>43164</v>
      </c>
      <c r="Z60" s="193"/>
      <c r="AA60" s="193"/>
      <c r="AB60" s="22">
        <v>0</v>
      </c>
      <c r="AC60" s="170">
        <v>0</v>
      </c>
      <c r="AD60" s="209">
        <v>170</v>
      </c>
      <c r="AE60" s="194">
        <v>34370.6</v>
      </c>
      <c r="AF60" s="209"/>
      <c r="AG60" s="194"/>
      <c r="AH60" s="209"/>
      <c r="AI60" s="194"/>
      <c r="AJ60" s="233">
        <f t="shared" si="6"/>
        <v>170</v>
      </c>
      <c r="AK60" s="170">
        <f t="shared" si="6"/>
        <v>34370.6</v>
      </c>
      <c r="AL60" s="272">
        <v>0</v>
      </c>
      <c r="AM60" s="212">
        <v>0</v>
      </c>
      <c r="AN60" s="269">
        <v>170</v>
      </c>
      <c r="AO60" s="217">
        <f t="shared" si="2"/>
        <v>34370.6</v>
      </c>
      <c r="AP60" s="232"/>
      <c r="AQ60" s="229"/>
      <c r="AR60" s="212">
        <v>202.18</v>
      </c>
      <c r="AS60" s="212">
        <f t="shared" si="3"/>
        <v>0</v>
      </c>
      <c r="AT60" s="227">
        <v>170</v>
      </c>
      <c r="AU60" s="228">
        <f t="shared" si="4"/>
        <v>34370.6</v>
      </c>
      <c r="AV60" s="279">
        <f t="shared" si="5"/>
        <v>170</v>
      </c>
    </row>
    <row r="61" spans="1:48" s="62" customFormat="1" ht="27" customHeight="1">
      <c r="A61" s="59"/>
      <c r="B61" s="60"/>
      <c r="C61" s="60"/>
      <c r="D61" s="22"/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133</v>
      </c>
      <c r="V61" s="115">
        <v>260</v>
      </c>
      <c r="W61" s="114">
        <v>43145</v>
      </c>
      <c r="X61" s="193" t="s">
        <v>94</v>
      </c>
      <c r="Y61" s="200">
        <v>43164</v>
      </c>
      <c r="Z61" s="193"/>
      <c r="AA61" s="193"/>
      <c r="AB61" s="22">
        <v>0</v>
      </c>
      <c r="AC61" s="170">
        <v>0</v>
      </c>
      <c r="AD61" s="209">
        <v>665</v>
      </c>
      <c r="AE61" s="194">
        <v>134449.70000000001</v>
      </c>
      <c r="AF61" s="209"/>
      <c r="AG61" s="194"/>
      <c r="AH61" s="209"/>
      <c r="AI61" s="194"/>
      <c r="AJ61" s="233">
        <f t="shared" si="6"/>
        <v>665</v>
      </c>
      <c r="AK61" s="170">
        <f t="shared" si="6"/>
        <v>134449.70000000001</v>
      </c>
      <c r="AL61" s="272">
        <v>0</v>
      </c>
      <c r="AM61" s="212">
        <v>0</v>
      </c>
      <c r="AN61" s="269">
        <v>665</v>
      </c>
      <c r="AO61" s="217">
        <f t="shared" si="2"/>
        <v>134449.70000000001</v>
      </c>
      <c r="AP61" s="232"/>
      <c r="AQ61" s="229"/>
      <c r="AR61" s="212">
        <v>202.18</v>
      </c>
      <c r="AS61" s="212">
        <f t="shared" si="3"/>
        <v>0</v>
      </c>
      <c r="AT61" s="227">
        <v>665</v>
      </c>
      <c r="AU61" s="228">
        <f t="shared" si="4"/>
        <v>134449.70000000001</v>
      </c>
      <c r="AV61" s="279">
        <f t="shared" si="5"/>
        <v>665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124</v>
      </c>
      <c r="V62" s="115">
        <v>68</v>
      </c>
      <c r="W62" s="114">
        <v>43116</v>
      </c>
      <c r="X62" s="193" t="s">
        <v>125</v>
      </c>
      <c r="Y62" s="200">
        <v>43130</v>
      </c>
      <c r="Z62" s="193"/>
      <c r="AA62" s="193"/>
      <c r="AB62" s="22">
        <v>0</v>
      </c>
      <c r="AC62" s="170">
        <v>0</v>
      </c>
      <c r="AD62" s="209">
        <v>335</v>
      </c>
      <c r="AE62" s="194">
        <v>67730.3</v>
      </c>
      <c r="AF62" s="209"/>
      <c r="AG62" s="194"/>
      <c r="AH62" s="209"/>
      <c r="AI62" s="194"/>
      <c r="AJ62" s="233">
        <f t="shared" si="6"/>
        <v>335</v>
      </c>
      <c r="AK62" s="170">
        <f t="shared" si="6"/>
        <v>67730.3</v>
      </c>
      <c r="AL62" s="272">
        <v>0</v>
      </c>
      <c r="AM62" s="212">
        <v>0</v>
      </c>
      <c r="AN62" s="269">
        <v>335</v>
      </c>
      <c r="AO62" s="217">
        <f t="shared" si="2"/>
        <v>67730.3</v>
      </c>
      <c r="AP62" s="232"/>
      <c r="AQ62" s="229"/>
      <c r="AR62" s="212">
        <v>202.18</v>
      </c>
      <c r="AS62" s="212">
        <f t="shared" si="3"/>
        <v>0</v>
      </c>
      <c r="AT62" s="227">
        <v>335</v>
      </c>
      <c r="AU62" s="228">
        <f t="shared" si="4"/>
        <v>67730.3</v>
      </c>
      <c r="AV62" s="279">
        <f t="shared" si="5"/>
        <v>335</v>
      </c>
    </row>
    <row r="63" spans="1:48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124</v>
      </c>
      <c r="V63" s="115">
        <v>135</v>
      </c>
      <c r="W63" s="114">
        <v>42761</v>
      </c>
      <c r="X63" s="193" t="s">
        <v>126</v>
      </c>
      <c r="Y63" s="200">
        <v>43130</v>
      </c>
      <c r="Z63" s="193"/>
      <c r="AA63" s="193"/>
      <c r="AB63" s="22">
        <v>0</v>
      </c>
      <c r="AC63" s="170">
        <v>0</v>
      </c>
      <c r="AD63" s="209">
        <v>155</v>
      </c>
      <c r="AE63" s="194">
        <v>31337.9</v>
      </c>
      <c r="AF63" s="209"/>
      <c r="AG63" s="194"/>
      <c r="AH63" s="209"/>
      <c r="AI63" s="194"/>
      <c r="AJ63" s="233">
        <f t="shared" si="6"/>
        <v>155</v>
      </c>
      <c r="AK63" s="170">
        <f t="shared" si="6"/>
        <v>31337.9</v>
      </c>
      <c r="AL63" s="272">
        <v>0</v>
      </c>
      <c r="AM63" s="212">
        <v>0</v>
      </c>
      <c r="AN63" s="269">
        <v>155</v>
      </c>
      <c r="AO63" s="217">
        <f t="shared" si="2"/>
        <v>31337.9</v>
      </c>
      <c r="AP63" s="232"/>
      <c r="AQ63" s="229"/>
      <c r="AR63" s="212">
        <v>202.18</v>
      </c>
      <c r="AS63" s="212">
        <f t="shared" si="3"/>
        <v>0</v>
      </c>
      <c r="AT63" s="227">
        <v>155</v>
      </c>
      <c r="AU63" s="228">
        <f t="shared" si="4"/>
        <v>31337.9</v>
      </c>
      <c r="AV63" s="279">
        <f t="shared" si="5"/>
        <v>155</v>
      </c>
    </row>
    <row r="64" spans="1:48" s="62" customFormat="1" ht="26.25" customHeight="1">
      <c r="A64" s="59"/>
      <c r="B64" s="60"/>
      <c r="C64" s="60"/>
      <c r="D64" s="22"/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132</v>
      </c>
      <c r="V64" s="115">
        <v>108</v>
      </c>
      <c r="W64" s="114">
        <v>43119</v>
      </c>
      <c r="X64" s="193" t="s">
        <v>131</v>
      </c>
      <c r="Y64" s="200">
        <v>43130</v>
      </c>
      <c r="Z64" s="193"/>
      <c r="AA64" s="193"/>
      <c r="AB64" s="22">
        <v>0</v>
      </c>
      <c r="AC64" s="170">
        <v>0</v>
      </c>
      <c r="AD64" s="209">
        <v>340</v>
      </c>
      <c r="AE64" s="194">
        <v>68741.2</v>
      </c>
      <c r="AF64" s="209"/>
      <c r="AG64" s="194"/>
      <c r="AH64" s="209"/>
      <c r="AI64" s="194"/>
      <c r="AJ64" s="233">
        <f t="shared" si="6"/>
        <v>340</v>
      </c>
      <c r="AK64" s="170">
        <f t="shared" si="6"/>
        <v>68741.2</v>
      </c>
      <c r="AL64" s="272">
        <v>0</v>
      </c>
      <c r="AM64" s="212">
        <v>0</v>
      </c>
      <c r="AN64" s="269">
        <v>340</v>
      </c>
      <c r="AO64" s="217">
        <f t="shared" si="2"/>
        <v>68741.2</v>
      </c>
      <c r="AP64" s="232"/>
      <c r="AQ64" s="229"/>
      <c r="AR64" s="212">
        <v>202.18</v>
      </c>
      <c r="AS64" s="212">
        <f t="shared" si="3"/>
        <v>0</v>
      </c>
      <c r="AT64" s="227">
        <v>340</v>
      </c>
      <c r="AU64" s="228">
        <f t="shared" si="4"/>
        <v>68741.2</v>
      </c>
      <c r="AV64" s="279">
        <f t="shared" si="5"/>
        <v>340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161</v>
      </c>
      <c r="V65" s="115">
        <v>659</v>
      </c>
      <c r="W65" s="114">
        <v>43201</v>
      </c>
      <c r="X65" s="193" t="s">
        <v>159</v>
      </c>
      <c r="Y65" s="200">
        <v>43213</v>
      </c>
      <c r="Z65" s="193" t="s">
        <v>160</v>
      </c>
      <c r="AA65" s="200">
        <v>43255</v>
      </c>
      <c r="AB65" s="22">
        <v>0</v>
      </c>
      <c r="AC65" s="170">
        <v>0</v>
      </c>
      <c r="AD65" s="209">
        <v>245</v>
      </c>
      <c r="AE65" s="194">
        <v>49534.1</v>
      </c>
      <c r="AF65" s="209"/>
      <c r="AG65" s="194"/>
      <c r="AH65" s="209"/>
      <c r="AI65" s="194"/>
      <c r="AJ65" s="233">
        <f t="shared" si="6"/>
        <v>245</v>
      </c>
      <c r="AK65" s="170">
        <f t="shared" si="6"/>
        <v>49534.1</v>
      </c>
      <c r="AL65" s="272">
        <v>0</v>
      </c>
      <c r="AM65" s="212">
        <v>0</v>
      </c>
      <c r="AN65" s="269">
        <v>245</v>
      </c>
      <c r="AO65" s="217">
        <f t="shared" si="2"/>
        <v>49534.1</v>
      </c>
      <c r="AP65" s="232"/>
      <c r="AQ65" s="229"/>
      <c r="AR65" s="212">
        <v>202.18</v>
      </c>
      <c r="AS65" s="212">
        <f t="shared" si="3"/>
        <v>0</v>
      </c>
      <c r="AT65" s="227">
        <v>245</v>
      </c>
      <c r="AU65" s="228">
        <f t="shared" si="4"/>
        <v>49534.1</v>
      </c>
      <c r="AV65" s="279">
        <f t="shared" si="5"/>
        <v>245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834</v>
      </c>
      <c r="W66" s="114">
        <v>43222</v>
      </c>
      <c r="X66" s="193" t="s">
        <v>162</v>
      </c>
      <c r="Y66" s="200">
        <v>43242</v>
      </c>
      <c r="Z66" s="193"/>
      <c r="AA66" s="193"/>
      <c r="AB66" s="22">
        <v>0</v>
      </c>
      <c r="AC66" s="170">
        <v>0</v>
      </c>
      <c r="AD66" s="209">
        <v>555</v>
      </c>
      <c r="AE66" s="194">
        <v>112209.9</v>
      </c>
      <c r="AF66" s="209"/>
      <c r="AG66" s="194"/>
      <c r="AH66" s="209"/>
      <c r="AI66" s="194"/>
      <c r="AJ66" s="233">
        <f t="shared" si="6"/>
        <v>555</v>
      </c>
      <c r="AK66" s="170">
        <f t="shared" si="6"/>
        <v>112209.9</v>
      </c>
      <c r="AL66" s="272">
        <v>0</v>
      </c>
      <c r="AM66" s="212">
        <v>0</v>
      </c>
      <c r="AN66" s="269">
        <v>555</v>
      </c>
      <c r="AO66" s="217">
        <f t="shared" si="2"/>
        <v>112209.9</v>
      </c>
      <c r="AP66" s="232"/>
      <c r="AQ66" s="229"/>
      <c r="AR66" s="212">
        <v>202.18</v>
      </c>
      <c r="AS66" s="212">
        <f t="shared" si="3"/>
        <v>0</v>
      </c>
      <c r="AT66" s="227">
        <v>555</v>
      </c>
      <c r="AU66" s="228">
        <f t="shared" si="4"/>
        <v>112209.90000000001</v>
      </c>
      <c r="AV66" s="279">
        <f t="shared" si="5"/>
        <v>555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1006</v>
      </c>
      <c r="W67" s="114">
        <v>43244</v>
      </c>
      <c r="X67" s="193" t="s">
        <v>179</v>
      </c>
      <c r="Y67" s="200">
        <v>43285</v>
      </c>
      <c r="Z67" s="193"/>
      <c r="AA67" s="193"/>
      <c r="AB67" s="22">
        <v>0</v>
      </c>
      <c r="AC67" s="170">
        <v>0</v>
      </c>
      <c r="AD67" s="209">
        <v>45</v>
      </c>
      <c r="AE67" s="194">
        <v>8820</v>
      </c>
      <c r="AF67" s="209"/>
      <c r="AG67" s="194"/>
      <c r="AH67" s="209"/>
      <c r="AI67" s="194"/>
      <c r="AJ67" s="233">
        <f t="shared" si="6"/>
        <v>45</v>
      </c>
      <c r="AK67" s="170">
        <f t="shared" si="6"/>
        <v>8820</v>
      </c>
      <c r="AL67" s="272">
        <v>0</v>
      </c>
      <c r="AM67" s="212">
        <v>0</v>
      </c>
      <c r="AN67" s="269">
        <v>45</v>
      </c>
      <c r="AO67" s="217">
        <f t="shared" si="2"/>
        <v>8820</v>
      </c>
      <c r="AP67" s="232"/>
      <c r="AQ67" s="229"/>
      <c r="AR67" s="212">
        <v>196</v>
      </c>
      <c r="AS67" s="212">
        <f t="shared" si="3"/>
        <v>0</v>
      </c>
      <c r="AT67" s="227">
        <v>45</v>
      </c>
      <c r="AU67" s="228">
        <f t="shared" si="4"/>
        <v>8820</v>
      </c>
      <c r="AV67" s="279">
        <f t="shared" si="5"/>
        <v>45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1006</v>
      </c>
      <c r="W68" s="114">
        <v>43244</v>
      </c>
      <c r="X68" s="193" t="s">
        <v>179</v>
      </c>
      <c r="Y68" s="200">
        <v>43285</v>
      </c>
      <c r="Z68" s="193"/>
      <c r="AA68" s="193"/>
      <c r="AB68" s="22">
        <v>0</v>
      </c>
      <c r="AC68" s="170">
        <v>0</v>
      </c>
      <c r="AD68" s="209">
        <v>55</v>
      </c>
      <c r="AE68" s="194">
        <v>11119.9</v>
      </c>
      <c r="AF68" s="209"/>
      <c r="AG68" s="194"/>
      <c r="AH68" s="209"/>
      <c r="AI68" s="194"/>
      <c r="AJ68" s="233">
        <f t="shared" si="6"/>
        <v>55</v>
      </c>
      <c r="AK68" s="170">
        <f t="shared" si="6"/>
        <v>11119.9</v>
      </c>
      <c r="AL68" s="272">
        <v>0</v>
      </c>
      <c r="AM68" s="212">
        <v>0</v>
      </c>
      <c r="AN68" s="269">
        <v>55</v>
      </c>
      <c r="AO68" s="217">
        <f t="shared" si="2"/>
        <v>11119.9</v>
      </c>
      <c r="AP68" s="232"/>
      <c r="AQ68" s="229"/>
      <c r="AR68" s="212">
        <v>202.18</v>
      </c>
      <c r="AS68" s="212">
        <f t="shared" si="3"/>
        <v>0</v>
      </c>
      <c r="AT68" s="227">
        <v>55</v>
      </c>
      <c r="AU68" s="228">
        <f t="shared" si="4"/>
        <v>11119.9</v>
      </c>
      <c r="AV68" s="279">
        <f t="shared" si="5"/>
        <v>55</v>
      </c>
    </row>
    <row r="69" spans="1:48" s="62" customFormat="1" ht="26.25" customHeight="1">
      <c r="A69" s="59"/>
      <c r="B69" s="60"/>
      <c r="C69" s="60"/>
      <c r="D69" s="22"/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175</v>
      </c>
      <c r="V69" s="115">
        <v>877</v>
      </c>
      <c r="W69" s="114">
        <v>43230</v>
      </c>
      <c r="X69" s="193" t="s">
        <v>174</v>
      </c>
      <c r="Y69" s="200">
        <v>43285</v>
      </c>
      <c r="Z69" s="193"/>
      <c r="AA69" s="193"/>
      <c r="AB69" s="22">
        <v>0</v>
      </c>
      <c r="AC69" s="170">
        <v>0</v>
      </c>
      <c r="AD69" s="209">
        <v>210</v>
      </c>
      <c r="AE69" s="194">
        <v>42457.8</v>
      </c>
      <c r="AF69" s="209"/>
      <c r="AG69" s="194"/>
      <c r="AH69" s="209"/>
      <c r="AI69" s="194"/>
      <c r="AJ69" s="233">
        <f t="shared" si="6"/>
        <v>210</v>
      </c>
      <c r="AK69" s="170">
        <f t="shared" si="6"/>
        <v>42457.8</v>
      </c>
      <c r="AL69" s="272">
        <v>0</v>
      </c>
      <c r="AM69" s="212">
        <v>0</v>
      </c>
      <c r="AN69" s="269">
        <v>210</v>
      </c>
      <c r="AO69" s="217">
        <f t="shared" si="2"/>
        <v>42457.8</v>
      </c>
      <c r="AP69" s="232"/>
      <c r="AQ69" s="229"/>
      <c r="AR69" s="212">
        <v>202.18</v>
      </c>
      <c r="AS69" s="212">
        <f t="shared" si="3"/>
        <v>0</v>
      </c>
      <c r="AT69" s="227">
        <v>210</v>
      </c>
      <c r="AU69" s="228">
        <f t="shared" si="4"/>
        <v>42457.8</v>
      </c>
      <c r="AV69" s="279">
        <f t="shared" si="5"/>
        <v>210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161</v>
      </c>
      <c r="V70" s="115">
        <v>1053</v>
      </c>
      <c r="W70" s="114">
        <v>43255</v>
      </c>
      <c r="X70" s="193" t="s">
        <v>177</v>
      </c>
      <c r="Y70" s="200">
        <v>43285</v>
      </c>
      <c r="Z70" s="193" t="s">
        <v>178</v>
      </c>
      <c r="AA70" s="200">
        <v>43269</v>
      </c>
      <c r="AB70" s="22">
        <v>0</v>
      </c>
      <c r="AC70" s="170">
        <v>0</v>
      </c>
      <c r="AD70" s="209">
        <v>105</v>
      </c>
      <c r="AE70" s="194">
        <v>21228.9</v>
      </c>
      <c r="AF70" s="209"/>
      <c r="AG70" s="194"/>
      <c r="AH70" s="209"/>
      <c r="AI70" s="194"/>
      <c r="AJ70" s="233">
        <f t="shared" si="6"/>
        <v>105</v>
      </c>
      <c r="AK70" s="170">
        <f t="shared" si="6"/>
        <v>21228.9</v>
      </c>
      <c r="AL70" s="272">
        <v>0</v>
      </c>
      <c r="AM70" s="212">
        <v>0</v>
      </c>
      <c r="AN70" s="269">
        <v>105</v>
      </c>
      <c r="AO70" s="217">
        <f t="shared" si="2"/>
        <v>21228.9</v>
      </c>
      <c r="AP70" s="232"/>
      <c r="AQ70" s="229"/>
      <c r="AR70" s="212">
        <v>202.18</v>
      </c>
      <c r="AS70" s="212">
        <f t="shared" si="3"/>
        <v>0</v>
      </c>
      <c r="AT70" s="227">
        <v>105</v>
      </c>
      <c r="AU70" s="228">
        <f t="shared" si="4"/>
        <v>21228.9</v>
      </c>
      <c r="AV70" s="279">
        <f t="shared" si="5"/>
        <v>105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187</v>
      </c>
      <c r="V71" s="115">
        <v>1418</v>
      </c>
      <c r="W71" s="114">
        <v>43312</v>
      </c>
      <c r="X71" s="193" t="s">
        <v>184</v>
      </c>
      <c r="Y71" s="200">
        <v>43332</v>
      </c>
      <c r="Z71" s="193" t="s">
        <v>185</v>
      </c>
      <c r="AA71" s="200">
        <v>43320</v>
      </c>
      <c r="AB71" s="22">
        <v>0</v>
      </c>
      <c r="AC71" s="170">
        <v>0</v>
      </c>
      <c r="AD71" s="209">
        <v>30</v>
      </c>
      <c r="AE71" s="194">
        <v>5880</v>
      </c>
      <c r="AF71" s="209"/>
      <c r="AG71" s="194"/>
      <c r="AH71" s="209"/>
      <c r="AI71" s="194"/>
      <c r="AJ71" s="233">
        <f t="shared" si="6"/>
        <v>30</v>
      </c>
      <c r="AK71" s="170">
        <f t="shared" si="6"/>
        <v>5880</v>
      </c>
      <c r="AL71" s="272">
        <v>0</v>
      </c>
      <c r="AM71" s="212">
        <v>0</v>
      </c>
      <c r="AN71" s="269">
        <v>30</v>
      </c>
      <c r="AO71" s="217">
        <v>0</v>
      </c>
      <c r="AP71" s="232"/>
      <c r="AQ71" s="229"/>
      <c r="AR71" s="212">
        <v>196</v>
      </c>
      <c r="AS71" s="212">
        <f t="shared" si="3"/>
        <v>0</v>
      </c>
      <c r="AT71" s="227">
        <v>30</v>
      </c>
      <c r="AU71" s="228">
        <f t="shared" si="4"/>
        <v>5880</v>
      </c>
      <c r="AV71" s="279">
        <f t="shared" si="5"/>
        <v>30</v>
      </c>
    </row>
    <row r="72" spans="1:48" s="62" customFormat="1" ht="26.25" customHeight="1">
      <c r="A72" s="59"/>
      <c r="B72" s="60"/>
      <c r="C72" s="60"/>
      <c r="D72" s="22"/>
      <c r="E72" s="79"/>
      <c r="F72" s="53" t="s">
        <v>65</v>
      </c>
      <c r="G72" s="222" t="s">
        <v>111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/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3">
        <v>30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30</v>
      </c>
      <c r="AU72" s="228"/>
      <c r="AV72" s="279">
        <f t="shared" si="5"/>
        <v>30</v>
      </c>
    </row>
    <row r="73" spans="1:48" s="62" customFormat="1" ht="26.25" customHeight="1">
      <c r="A73" s="59"/>
      <c r="B73" s="60"/>
      <c r="C73" s="60"/>
      <c r="D73" s="22"/>
      <c r="E73" s="79" t="s">
        <v>24</v>
      </c>
      <c r="F73" s="51" t="s">
        <v>249</v>
      </c>
      <c r="G73" s="275" t="s">
        <v>146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>
        <v>250</v>
      </c>
      <c r="P73" s="276">
        <v>66042.58</v>
      </c>
      <c r="Q73" s="115"/>
      <c r="R73" s="276"/>
      <c r="S73" s="115"/>
      <c r="T73" s="276"/>
      <c r="U73" s="278" t="s">
        <v>181</v>
      </c>
      <c r="V73" s="115">
        <v>1405</v>
      </c>
      <c r="W73" s="114">
        <v>43052</v>
      </c>
      <c r="X73" s="115" t="s">
        <v>182</v>
      </c>
      <c r="Y73" s="221">
        <v>43201</v>
      </c>
      <c r="Z73" s="115"/>
      <c r="AA73" s="115"/>
      <c r="AB73" s="22">
        <v>0</v>
      </c>
      <c r="AC73" s="170">
        <v>0</v>
      </c>
      <c r="AD73" s="208">
        <v>125</v>
      </c>
      <c r="AE73" s="170">
        <v>26255</v>
      </c>
      <c r="AF73" s="208"/>
      <c r="AG73" s="170"/>
      <c r="AH73" s="208"/>
      <c r="AI73" s="170"/>
      <c r="AJ73" s="233">
        <f t="shared" si="6"/>
        <v>125</v>
      </c>
      <c r="AK73" s="170">
        <f t="shared" si="6"/>
        <v>26255</v>
      </c>
      <c r="AL73" s="270">
        <f>63+62</f>
        <v>125</v>
      </c>
      <c r="AM73" s="170">
        <v>26255</v>
      </c>
      <c r="AN73" s="270">
        <v>0</v>
      </c>
      <c r="AO73" s="170">
        <f t="shared" si="2"/>
        <v>0</v>
      </c>
      <c r="AP73" s="233"/>
      <c r="AQ73" s="233"/>
      <c r="AR73" s="170">
        <v>210.04</v>
      </c>
      <c r="AS73" s="170">
        <f t="shared" si="3"/>
        <v>0</v>
      </c>
      <c r="AT73" s="208">
        <v>0</v>
      </c>
      <c r="AU73" s="170">
        <f t="shared" si="4"/>
        <v>0</v>
      </c>
      <c r="AV73" s="233">
        <f t="shared" si="5"/>
        <v>0</v>
      </c>
    </row>
    <row r="74" spans="1:48" s="62" customFormat="1" ht="26.25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145</v>
      </c>
      <c r="V74" s="115">
        <v>1381</v>
      </c>
      <c r="W74" s="114">
        <v>43047</v>
      </c>
      <c r="X74" s="115" t="s">
        <v>144</v>
      </c>
      <c r="Y74" s="221">
        <v>43201</v>
      </c>
      <c r="Z74" s="115"/>
      <c r="AA74" s="115"/>
      <c r="AB74" s="22">
        <v>0</v>
      </c>
      <c r="AC74" s="170">
        <v>0</v>
      </c>
      <c r="AD74" s="208">
        <v>80</v>
      </c>
      <c r="AE74" s="170">
        <v>16803.2</v>
      </c>
      <c r="AF74" s="208"/>
      <c r="AG74" s="170"/>
      <c r="AH74" s="208"/>
      <c r="AI74" s="170"/>
      <c r="AJ74" s="233">
        <f t="shared" si="6"/>
        <v>80</v>
      </c>
      <c r="AK74" s="170">
        <f t="shared" si="6"/>
        <v>16803.2</v>
      </c>
      <c r="AL74" s="270">
        <v>80</v>
      </c>
      <c r="AM74" s="170">
        <v>16803.2</v>
      </c>
      <c r="AN74" s="270">
        <v>0</v>
      </c>
      <c r="AO74" s="170">
        <f t="shared" si="2"/>
        <v>0</v>
      </c>
      <c r="AP74" s="233"/>
      <c r="AQ74" s="233"/>
      <c r="AR74" s="170">
        <f>AM74/AL74</f>
        <v>210.04000000000002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148</v>
      </c>
      <c r="V75" s="115">
        <v>546</v>
      </c>
      <c r="W75" s="114">
        <v>43182</v>
      </c>
      <c r="X75" s="115" t="s">
        <v>149</v>
      </c>
      <c r="Y75" s="221">
        <v>43201</v>
      </c>
      <c r="Z75" s="115" t="s">
        <v>147</v>
      </c>
      <c r="AA75" s="221">
        <v>43252</v>
      </c>
      <c r="AB75" s="22">
        <v>0</v>
      </c>
      <c r="AC75" s="170">
        <v>0</v>
      </c>
      <c r="AD75" s="208">
        <v>10</v>
      </c>
      <c r="AE75" s="170">
        <v>2038.7</v>
      </c>
      <c r="AF75" s="208"/>
      <c r="AG75" s="170"/>
      <c r="AH75" s="208"/>
      <c r="AI75" s="170"/>
      <c r="AJ75" s="233">
        <f t="shared" si="6"/>
        <v>10</v>
      </c>
      <c r="AK75" s="170">
        <f t="shared" si="6"/>
        <v>2038.7</v>
      </c>
      <c r="AL75" s="270">
        <v>10</v>
      </c>
      <c r="AM75" s="170">
        <v>2038.7</v>
      </c>
      <c r="AN75" s="270">
        <v>0</v>
      </c>
      <c r="AO75" s="170">
        <f t="shared" si="2"/>
        <v>0</v>
      </c>
      <c r="AP75" s="233"/>
      <c r="AQ75" s="233"/>
      <c r="AR75" s="170">
        <f>AM75/AL75</f>
        <v>203.87</v>
      </c>
      <c r="AS75" s="170">
        <f t="shared" si="3"/>
        <v>0</v>
      </c>
      <c r="AT75" s="208">
        <v>0</v>
      </c>
      <c r="AU75" s="170">
        <f t="shared" si="4"/>
        <v>0</v>
      </c>
      <c r="AV75" s="233">
        <f t="shared" si="5"/>
        <v>0</v>
      </c>
    </row>
    <row r="76" spans="1:48" s="62" customFormat="1" ht="26.25" customHeight="1">
      <c r="A76" s="59"/>
      <c r="B76" s="60"/>
      <c r="C76" s="60"/>
      <c r="D76" s="22"/>
      <c r="E76" s="79" t="s">
        <v>24</v>
      </c>
      <c r="F76" s="162" t="s">
        <v>68</v>
      </c>
      <c r="G76" s="222" t="s">
        <v>146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148</v>
      </c>
      <c r="V76" s="115">
        <v>834</v>
      </c>
      <c r="W76" s="114">
        <v>43222</v>
      </c>
      <c r="X76" s="193" t="s">
        <v>162</v>
      </c>
      <c r="Y76" s="200">
        <v>43242</v>
      </c>
      <c r="Z76" s="193"/>
      <c r="AA76" s="193"/>
      <c r="AB76" s="22">
        <v>0</v>
      </c>
      <c r="AC76" s="170">
        <v>0</v>
      </c>
      <c r="AD76" s="209">
        <v>10</v>
      </c>
      <c r="AE76" s="194">
        <v>2100.4</v>
      </c>
      <c r="AF76" s="209"/>
      <c r="AG76" s="194"/>
      <c r="AH76" s="209"/>
      <c r="AI76" s="194"/>
      <c r="AJ76" s="233">
        <f t="shared" si="6"/>
        <v>10</v>
      </c>
      <c r="AK76" s="170">
        <f t="shared" si="6"/>
        <v>2100.4</v>
      </c>
      <c r="AL76" s="272">
        <v>0</v>
      </c>
      <c r="AM76" s="212">
        <v>0</v>
      </c>
      <c r="AN76" s="269">
        <v>10</v>
      </c>
      <c r="AO76" s="217">
        <f t="shared" si="2"/>
        <v>2100.4</v>
      </c>
      <c r="AP76" s="232"/>
      <c r="AQ76" s="229"/>
      <c r="AR76" s="212">
        <v>210.04</v>
      </c>
      <c r="AS76" s="212">
        <f t="shared" si="3"/>
        <v>0</v>
      </c>
      <c r="AT76" s="227">
        <v>10</v>
      </c>
      <c r="AU76" s="228">
        <f t="shared" si="4"/>
        <v>2100.4</v>
      </c>
      <c r="AV76" s="279">
        <f t="shared" si="5"/>
        <v>10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62" t="s">
        <v>68</v>
      </c>
      <c r="G77" s="222" t="s">
        <v>146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148</v>
      </c>
      <c r="V77" s="115">
        <v>1006</v>
      </c>
      <c r="W77" s="114">
        <v>43244</v>
      </c>
      <c r="X77" s="193" t="s">
        <v>179</v>
      </c>
      <c r="Y77" s="200">
        <v>43285</v>
      </c>
      <c r="Z77" s="193"/>
      <c r="AA77" s="193"/>
      <c r="AB77" s="22">
        <v>0</v>
      </c>
      <c r="AC77" s="170">
        <v>0</v>
      </c>
      <c r="AD77" s="209">
        <v>5</v>
      </c>
      <c r="AE77" s="194">
        <v>1019.35</v>
      </c>
      <c r="AF77" s="209"/>
      <c r="AG77" s="194"/>
      <c r="AH77" s="209"/>
      <c r="AI77" s="194"/>
      <c r="AJ77" s="233">
        <f t="shared" si="6"/>
        <v>5</v>
      </c>
      <c r="AK77" s="170">
        <f t="shared" si="6"/>
        <v>1019.35</v>
      </c>
      <c r="AL77" s="272">
        <v>0</v>
      </c>
      <c r="AM77" s="212">
        <v>0</v>
      </c>
      <c r="AN77" s="269">
        <v>5</v>
      </c>
      <c r="AO77" s="217">
        <f t="shared" si="2"/>
        <v>1019.35</v>
      </c>
      <c r="AP77" s="232"/>
      <c r="AQ77" s="229"/>
      <c r="AR77" s="212">
        <v>203.87</v>
      </c>
      <c r="AS77" s="212">
        <f t="shared" si="3"/>
        <v>0</v>
      </c>
      <c r="AT77" s="227">
        <v>5</v>
      </c>
      <c r="AU77" s="228">
        <f t="shared" si="4"/>
        <v>1019.35</v>
      </c>
      <c r="AV77" s="279">
        <f t="shared" si="5"/>
        <v>5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51" t="s">
        <v>247</v>
      </c>
      <c r="G78" s="275" t="s">
        <v>114</v>
      </c>
      <c r="H78" s="115" t="s">
        <v>91</v>
      </c>
      <c r="I78" s="115" t="s">
        <v>91</v>
      </c>
      <c r="J78" s="115">
        <v>360</v>
      </c>
      <c r="K78" s="115">
        <v>1</v>
      </c>
      <c r="L78" s="276">
        <v>303.16000000000003</v>
      </c>
      <c r="M78" s="277">
        <f t="shared" si="0"/>
        <v>360</v>
      </c>
      <c r="N78" s="276">
        <f t="shared" si="1"/>
        <v>109137.60000000001</v>
      </c>
      <c r="O78" s="115">
        <v>180</v>
      </c>
      <c r="P78" s="276">
        <v>49667.4</v>
      </c>
      <c r="Q78" s="115">
        <v>360</v>
      </c>
      <c r="R78" s="276">
        <v>107470.8</v>
      </c>
      <c r="S78" s="115">
        <v>90</v>
      </c>
      <c r="T78" s="276">
        <v>27284.400000000001</v>
      </c>
      <c r="U78" s="278" t="s">
        <v>115</v>
      </c>
      <c r="V78" s="115">
        <v>1583</v>
      </c>
      <c r="W78" s="114">
        <v>43082</v>
      </c>
      <c r="X78" s="115" t="s">
        <v>113</v>
      </c>
      <c r="Y78" s="221">
        <v>43109</v>
      </c>
      <c r="Z78" s="115" t="s">
        <v>110</v>
      </c>
      <c r="AA78" s="221">
        <v>43111</v>
      </c>
      <c r="AB78" s="22">
        <v>0</v>
      </c>
      <c r="AC78" s="170">
        <v>0</v>
      </c>
      <c r="AD78" s="208">
        <v>8</v>
      </c>
      <c r="AE78" s="170">
        <v>2388</v>
      </c>
      <c r="AF78" s="208"/>
      <c r="AG78" s="170"/>
      <c r="AH78" s="208"/>
      <c r="AI78" s="170"/>
      <c r="AJ78" s="233">
        <f t="shared" si="6"/>
        <v>8</v>
      </c>
      <c r="AK78" s="170">
        <f t="shared" si="6"/>
        <v>2388</v>
      </c>
      <c r="AL78" s="270">
        <v>0</v>
      </c>
      <c r="AM78" s="170">
        <v>0</v>
      </c>
      <c r="AN78" s="270">
        <v>8</v>
      </c>
      <c r="AO78" s="170">
        <f t="shared" si="2"/>
        <v>2388</v>
      </c>
      <c r="AP78" s="233"/>
      <c r="AQ78" s="233"/>
      <c r="AR78" s="170">
        <v>298.5</v>
      </c>
      <c r="AS78" s="170">
        <f t="shared" si="3"/>
        <v>0</v>
      </c>
      <c r="AT78" s="233">
        <f>8-8</f>
        <v>0</v>
      </c>
      <c r="AU78" s="386">
        <f t="shared" si="4"/>
        <v>0</v>
      </c>
      <c r="AV78" s="233">
        <f t="shared" si="5"/>
        <v>0</v>
      </c>
    </row>
    <row r="79" spans="1:48" s="62" customFormat="1" ht="25.5" customHeight="1">
      <c r="A79" s="59"/>
      <c r="B79" s="60"/>
      <c r="C79" s="60"/>
      <c r="D79" s="22"/>
      <c r="E79" s="79" t="s">
        <v>24</v>
      </c>
      <c r="F79" s="51" t="s">
        <v>247</v>
      </c>
      <c r="G79" s="275" t="s">
        <v>114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/>
      <c r="P79" s="276"/>
      <c r="Q79" s="115"/>
      <c r="R79" s="276"/>
      <c r="S79" s="115"/>
      <c r="T79" s="276"/>
      <c r="U79" s="278" t="s">
        <v>137</v>
      </c>
      <c r="V79" s="115">
        <v>427</v>
      </c>
      <c r="W79" s="114">
        <v>43164</v>
      </c>
      <c r="X79" s="115" t="s">
        <v>138</v>
      </c>
      <c r="Y79" s="221">
        <v>43164</v>
      </c>
      <c r="Z79" s="115"/>
      <c r="AA79" s="115"/>
      <c r="AB79" s="22">
        <v>0</v>
      </c>
      <c r="AC79" s="170">
        <v>0</v>
      </c>
      <c r="AD79" s="208">
        <v>34</v>
      </c>
      <c r="AE79" s="170">
        <v>10149</v>
      </c>
      <c r="AF79" s="208"/>
      <c r="AG79" s="170"/>
      <c r="AH79" s="208"/>
      <c r="AI79" s="170"/>
      <c r="AJ79" s="233">
        <f t="shared" si="6"/>
        <v>34</v>
      </c>
      <c r="AK79" s="170">
        <f t="shared" si="6"/>
        <v>10149</v>
      </c>
      <c r="AL79" s="270">
        <v>0</v>
      </c>
      <c r="AM79" s="170">
        <v>0</v>
      </c>
      <c r="AN79" s="270">
        <v>34</v>
      </c>
      <c r="AO79" s="170">
        <f t="shared" si="2"/>
        <v>10149</v>
      </c>
      <c r="AP79" s="233"/>
      <c r="AQ79" s="233"/>
      <c r="AR79" s="170">
        <v>298.5</v>
      </c>
      <c r="AS79" s="170">
        <f t="shared" si="3"/>
        <v>0</v>
      </c>
      <c r="AT79" s="233">
        <f>34-34</f>
        <v>0</v>
      </c>
      <c r="AU79" s="386">
        <f t="shared" si="4"/>
        <v>0</v>
      </c>
      <c r="AV79" s="233">
        <f t="shared" si="5"/>
        <v>0</v>
      </c>
    </row>
    <row r="80" spans="1:48" s="62" customFormat="1" ht="25.5" customHeight="1">
      <c r="A80" s="59"/>
      <c r="B80" s="60"/>
      <c r="C80" s="60"/>
      <c r="D80" s="22"/>
      <c r="E80" s="79" t="s">
        <v>24</v>
      </c>
      <c r="F80" s="140" t="s">
        <v>55</v>
      </c>
      <c r="G80" s="222" t="s">
        <v>114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153</v>
      </c>
      <c r="V80" s="115">
        <v>613</v>
      </c>
      <c r="W80" s="114">
        <v>43193</v>
      </c>
      <c r="X80" s="193">
        <v>97</v>
      </c>
      <c r="Y80" s="200">
        <v>43202</v>
      </c>
      <c r="Z80" s="193" t="s">
        <v>154</v>
      </c>
      <c r="AA80" s="200">
        <v>43214</v>
      </c>
      <c r="AB80" s="22">
        <v>0</v>
      </c>
      <c r="AC80" s="170">
        <v>0</v>
      </c>
      <c r="AD80" s="209">
        <v>270</v>
      </c>
      <c r="AE80" s="194">
        <v>80595</v>
      </c>
      <c r="AF80" s="209"/>
      <c r="AG80" s="194"/>
      <c r="AH80" s="209"/>
      <c r="AI80" s="194"/>
      <c r="AJ80" s="233">
        <f t="shared" si="6"/>
        <v>270</v>
      </c>
      <c r="AK80" s="170">
        <f t="shared" si="6"/>
        <v>80595</v>
      </c>
      <c r="AL80" s="272">
        <v>0</v>
      </c>
      <c r="AM80" s="212">
        <v>0</v>
      </c>
      <c r="AN80" s="269">
        <v>270</v>
      </c>
      <c r="AO80" s="217">
        <f t="shared" si="2"/>
        <v>80595</v>
      </c>
      <c r="AP80" s="232"/>
      <c r="AQ80" s="229"/>
      <c r="AR80" s="212">
        <v>298.5</v>
      </c>
      <c r="AS80" s="212">
        <f t="shared" si="3"/>
        <v>0</v>
      </c>
      <c r="AT80" s="261">
        <f>270-16-60</f>
        <v>194</v>
      </c>
      <c r="AU80" s="228">
        <f t="shared" si="4"/>
        <v>57909</v>
      </c>
      <c r="AV80" s="279">
        <f t="shared" si="5"/>
        <v>194</v>
      </c>
    </row>
    <row r="81" spans="1:48" s="62" customFormat="1" ht="25.5" customHeight="1">
      <c r="A81" s="59"/>
      <c r="B81" s="60"/>
      <c r="C81" s="60"/>
      <c r="D81" s="22"/>
      <c r="E81" s="79" t="s">
        <v>24</v>
      </c>
      <c r="F81" s="140" t="s">
        <v>55</v>
      </c>
      <c r="G81" s="222" t="s">
        <v>114</v>
      </c>
      <c r="H81" s="193" t="s">
        <v>91</v>
      </c>
      <c r="I81" s="193" t="s">
        <v>91</v>
      </c>
      <c r="J81" s="193"/>
      <c r="K81" s="193"/>
      <c r="L81" s="243"/>
      <c r="M81" s="242">
        <f t="shared" si="0"/>
        <v>0</v>
      </c>
      <c r="N81" s="243">
        <f t="shared" si="1"/>
        <v>0</v>
      </c>
      <c r="O81" s="193"/>
      <c r="P81" s="243"/>
      <c r="Q81" s="193"/>
      <c r="R81" s="243"/>
      <c r="S81" s="193"/>
      <c r="T81" s="243"/>
      <c r="U81" s="203" t="s">
        <v>115</v>
      </c>
      <c r="V81" s="115">
        <v>612</v>
      </c>
      <c r="W81" s="114">
        <v>43193</v>
      </c>
      <c r="X81" s="193">
        <v>97</v>
      </c>
      <c r="Y81" s="200">
        <v>43202</v>
      </c>
      <c r="Z81" s="193" t="s">
        <v>155</v>
      </c>
      <c r="AA81" s="200">
        <v>43214</v>
      </c>
      <c r="AB81" s="22">
        <v>0</v>
      </c>
      <c r="AC81" s="170">
        <v>0</v>
      </c>
      <c r="AD81" s="209">
        <v>40</v>
      </c>
      <c r="AE81" s="194">
        <v>11940</v>
      </c>
      <c r="AF81" s="209"/>
      <c r="AG81" s="194"/>
      <c r="AH81" s="209"/>
      <c r="AI81" s="194"/>
      <c r="AJ81" s="233">
        <f t="shared" si="6"/>
        <v>40</v>
      </c>
      <c r="AK81" s="170">
        <f t="shared" si="6"/>
        <v>11940</v>
      </c>
      <c r="AL81" s="272">
        <v>0</v>
      </c>
      <c r="AM81" s="212">
        <v>0</v>
      </c>
      <c r="AN81" s="269">
        <v>40</v>
      </c>
      <c r="AO81" s="217">
        <f t="shared" si="2"/>
        <v>11940</v>
      </c>
      <c r="AP81" s="232"/>
      <c r="AQ81" s="229"/>
      <c r="AR81" s="212">
        <v>298.5</v>
      </c>
      <c r="AS81" s="212">
        <f t="shared" si="3"/>
        <v>0</v>
      </c>
      <c r="AT81" s="227">
        <v>40</v>
      </c>
      <c r="AU81" s="228">
        <f t="shared" si="4"/>
        <v>11940</v>
      </c>
      <c r="AV81" s="279">
        <f t="shared" si="5"/>
        <v>40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244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3">
        <v>6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6</v>
      </c>
      <c r="AU82" s="228"/>
      <c r="AV82" s="279">
        <f t="shared" si="5"/>
        <v>6</v>
      </c>
    </row>
    <row r="83" spans="1:48" s="62" customFormat="1" ht="25.5" customHeight="1">
      <c r="A83" s="59"/>
      <c r="B83" s="60"/>
      <c r="C83" s="60"/>
      <c r="D83" s="22"/>
      <c r="E83" s="79" t="s">
        <v>24</v>
      </c>
      <c r="F83" s="51" t="s">
        <v>250</v>
      </c>
      <c r="G83" s="275" t="s">
        <v>140</v>
      </c>
      <c r="H83" s="115" t="s">
        <v>91</v>
      </c>
      <c r="I83" s="115" t="s">
        <v>91</v>
      </c>
      <c r="J83" s="115">
        <v>1080</v>
      </c>
      <c r="K83" s="115">
        <v>2</v>
      </c>
      <c r="L83" s="276">
        <v>304.58999999999997</v>
      </c>
      <c r="M83" s="277">
        <f t="shared" si="0"/>
        <v>2160</v>
      </c>
      <c r="N83" s="276">
        <f t="shared" si="1"/>
        <v>657914.39999999991</v>
      </c>
      <c r="O83" s="115">
        <v>180</v>
      </c>
      <c r="P83" s="276">
        <v>49908.6</v>
      </c>
      <c r="Q83" s="115">
        <v>1080</v>
      </c>
      <c r="R83" s="276">
        <v>323838</v>
      </c>
      <c r="S83" s="115">
        <v>602</v>
      </c>
      <c r="T83" s="276">
        <v>183363.18</v>
      </c>
      <c r="U83" s="278" t="s">
        <v>139</v>
      </c>
      <c r="V83" s="115">
        <v>427</v>
      </c>
      <c r="W83" s="114">
        <v>43164</v>
      </c>
      <c r="X83" s="115" t="s">
        <v>138</v>
      </c>
      <c r="Y83" s="221">
        <v>43164</v>
      </c>
      <c r="Z83" s="115"/>
      <c r="AA83" s="115"/>
      <c r="AB83" s="22">
        <v>0</v>
      </c>
      <c r="AC83" s="170">
        <v>0</v>
      </c>
      <c r="AD83" s="208">
        <v>56</v>
      </c>
      <c r="AE83" s="170">
        <v>16794.400000000001</v>
      </c>
      <c r="AF83" s="208"/>
      <c r="AG83" s="170"/>
      <c r="AH83" s="208"/>
      <c r="AI83" s="170"/>
      <c r="AJ83" s="233">
        <f t="shared" si="6"/>
        <v>56</v>
      </c>
      <c r="AK83" s="170">
        <f t="shared" si="6"/>
        <v>16794.400000000001</v>
      </c>
      <c r="AL83" s="270">
        <v>0</v>
      </c>
      <c r="AM83" s="170">
        <v>0</v>
      </c>
      <c r="AN83" s="270">
        <v>56</v>
      </c>
      <c r="AO83" s="170">
        <f t="shared" si="2"/>
        <v>16794.400000000001</v>
      </c>
      <c r="AP83" s="233"/>
      <c r="AQ83" s="233"/>
      <c r="AR83" s="170">
        <v>299.89999999999998</v>
      </c>
      <c r="AS83" s="170">
        <f t="shared" si="3"/>
        <v>0</v>
      </c>
      <c r="AT83" s="233">
        <f>18-18</f>
        <v>0</v>
      </c>
      <c r="AU83" s="386">
        <f t="shared" si="4"/>
        <v>0</v>
      </c>
      <c r="AV83" s="233">
        <f t="shared" si="5"/>
        <v>0</v>
      </c>
    </row>
    <row r="84" spans="1:48" s="62" customFormat="1" ht="25.5" customHeight="1">
      <c r="A84" s="59"/>
      <c r="B84" s="60"/>
      <c r="C84" s="60"/>
      <c r="D84" s="22"/>
      <c r="E84" s="79" t="s">
        <v>24</v>
      </c>
      <c r="F84" s="173" t="s">
        <v>64</v>
      </c>
      <c r="G84" s="222" t="s">
        <v>140</v>
      </c>
      <c r="H84" s="193" t="s">
        <v>91</v>
      </c>
      <c r="I84" s="193" t="s">
        <v>91</v>
      </c>
      <c r="J84" s="193"/>
      <c r="K84" s="193"/>
      <c r="L84" s="243"/>
      <c r="M84" s="242">
        <f t="shared" si="0"/>
        <v>0</v>
      </c>
      <c r="N84" s="243">
        <f t="shared" si="1"/>
        <v>0</v>
      </c>
      <c r="O84" s="193"/>
      <c r="P84" s="243"/>
      <c r="Q84" s="193"/>
      <c r="R84" s="243"/>
      <c r="S84" s="193"/>
      <c r="T84" s="243"/>
      <c r="U84" s="203" t="s">
        <v>157</v>
      </c>
      <c r="V84" s="115">
        <v>605</v>
      </c>
      <c r="W84" s="114">
        <v>43193</v>
      </c>
      <c r="X84" s="193">
        <v>97</v>
      </c>
      <c r="Y84" s="200">
        <v>43202</v>
      </c>
      <c r="Z84" s="193" t="s">
        <v>158</v>
      </c>
      <c r="AA84" s="200">
        <v>43216</v>
      </c>
      <c r="AB84" s="22">
        <v>0</v>
      </c>
      <c r="AC84" s="170">
        <v>0</v>
      </c>
      <c r="AD84" s="209">
        <v>510</v>
      </c>
      <c r="AE84" s="194">
        <v>152949</v>
      </c>
      <c r="AF84" s="209"/>
      <c r="AG84" s="194"/>
      <c r="AH84" s="209"/>
      <c r="AI84" s="194"/>
      <c r="AJ84" s="233">
        <f t="shared" si="6"/>
        <v>510</v>
      </c>
      <c r="AK84" s="170">
        <f t="shared" si="6"/>
        <v>152949</v>
      </c>
      <c r="AL84" s="272">
        <v>0</v>
      </c>
      <c r="AM84" s="212">
        <v>0</v>
      </c>
      <c r="AN84" s="269">
        <v>510</v>
      </c>
      <c r="AO84" s="217">
        <f t="shared" si="2"/>
        <v>152949</v>
      </c>
      <c r="AP84" s="232"/>
      <c r="AQ84" s="229"/>
      <c r="AR84" s="212">
        <v>299.89999999999998</v>
      </c>
      <c r="AS84" s="212">
        <f t="shared" si="3"/>
        <v>0</v>
      </c>
      <c r="AT84" s="261">
        <f>510-42-60-60</f>
        <v>348</v>
      </c>
      <c r="AU84" s="228">
        <f t="shared" si="4"/>
        <v>104365.2</v>
      </c>
      <c r="AV84" s="279">
        <f t="shared" si="5"/>
        <v>348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3">
        <v>368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368</v>
      </c>
      <c r="AU85" s="228"/>
      <c r="AV85" s="279">
        <f t="shared" si="5"/>
        <v>368</v>
      </c>
    </row>
    <row r="86" spans="1:48" s="62" customFormat="1" ht="31.5">
      <c r="A86" s="59"/>
      <c r="B86" s="60"/>
      <c r="C86" s="60"/>
      <c r="D86" s="22"/>
      <c r="E86" s="79" t="s">
        <v>24</v>
      </c>
      <c r="F86" s="150" t="s">
        <v>57</v>
      </c>
      <c r="G86" s="222" t="s">
        <v>121</v>
      </c>
      <c r="H86" s="193" t="s">
        <v>91</v>
      </c>
      <c r="I86" s="193" t="s">
        <v>91</v>
      </c>
      <c r="J86" s="193">
        <v>480</v>
      </c>
      <c r="K86" s="193">
        <v>3</v>
      </c>
      <c r="L86" s="243">
        <v>19.399999999999999</v>
      </c>
      <c r="M86" s="242">
        <f>J86*K86</f>
        <v>1440</v>
      </c>
      <c r="N86" s="243">
        <f t="shared" si="1"/>
        <v>27935.999999999996</v>
      </c>
      <c r="O86" s="193">
        <v>6637</v>
      </c>
      <c r="P86" s="243">
        <v>108249.47</v>
      </c>
      <c r="Q86" s="193">
        <v>4000</v>
      </c>
      <c r="R86" s="243">
        <v>89720</v>
      </c>
      <c r="S86" s="193"/>
      <c r="T86" s="243"/>
      <c r="U86" s="203" t="s">
        <v>120</v>
      </c>
      <c r="V86" s="115">
        <v>1745</v>
      </c>
      <c r="W86" s="114">
        <v>43096</v>
      </c>
      <c r="X86" s="193" t="s">
        <v>117</v>
      </c>
      <c r="Y86" s="200">
        <v>43109</v>
      </c>
      <c r="Z86" s="193" t="s">
        <v>118</v>
      </c>
      <c r="AA86" s="200">
        <v>43133</v>
      </c>
      <c r="AB86" s="22">
        <v>0</v>
      </c>
      <c r="AC86" s="170">
        <v>0</v>
      </c>
      <c r="AD86" s="209">
        <v>6637</v>
      </c>
      <c r="AE86" s="194">
        <v>102541.65</v>
      </c>
      <c r="AF86" s="209"/>
      <c r="AG86" s="194"/>
      <c r="AH86" s="209"/>
      <c r="AI86" s="194"/>
      <c r="AJ86" s="233">
        <f t="shared" si="6"/>
        <v>6637</v>
      </c>
      <c r="AK86" s="170">
        <f t="shared" si="6"/>
        <v>102541.65</v>
      </c>
      <c r="AL86" s="272">
        <f>180+290</f>
        <v>470</v>
      </c>
      <c r="AM86" s="212">
        <f>AL86*AR86</f>
        <v>7261.5</v>
      </c>
      <c r="AN86" s="269">
        <v>6167</v>
      </c>
      <c r="AO86" s="217">
        <f t="shared" si="2"/>
        <v>95280.15</v>
      </c>
      <c r="AP86" s="232"/>
      <c r="AQ86" s="229"/>
      <c r="AR86" s="212">
        <v>15.45</v>
      </c>
      <c r="AS86" s="212">
        <f t="shared" si="3"/>
        <v>0</v>
      </c>
      <c r="AT86" s="261">
        <f>5867-550-40-4737-460-30</f>
        <v>50</v>
      </c>
      <c r="AU86" s="228">
        <f t="shared" si="4"/>
        <v>772.5</v>
      </c>
      <c r="AV86" s="279">
        <f t="shared" si="5"/>
        <v>50</v>
      </c>
    </row>
    <row r="87" spans="1:48" s="62" customFormat="1" ht="31.5">
      <c r="A87" s="59"/>
      <c r="B87" s="60"/>
      <c r="C87" s="60"/>
      <c r="D87" s="22"/>
      <c r="E87" s="79" t="s">
        <v>24</v>
      </c>
      <c r="F87" s="150" t="s">
        <v>57</v>
      </c>
      <c r="G87" s="222" t="s">
        <v>121</v>
      </c>
      <c r="H87" s="193" t="s">
        <v>91</v>
      </c>
      <c r="I87" s="193" t="s">
        <v>91</v>
      </c>
      <c r="J87" s="193"/>
      <c r="K87" s="193"/>
      <c r="L87" s="243"/>
      <c r="M87" s="242">
        <f t="shared" ref="M87:M88" si="8">J87*K87</f>
        <v>0</v>
      </c>
      <c r="N87" s="243">
        <f t="shared" ref="N87:N90" si="9">L87*M87</f>
        <v>0</v>
      </c>
      <c r="O87" s="193"/>
      <c r="P87" s="243"/>
      <c r="Q87" s="193"/>
      <c r="R87" s="243"/>
      <c r="S87" s="193"/>
      <c r="T87" s="243"/>
      <c r="U87" s="203" t="s">
        <v>173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144</v>
      </c>
      <c r="AE87" s="194">
        <v>2142.7199999999998</v>
      </c>
      <c r="AF87" s="209"/>
      <c r="AG87" s="194"/>
      <c r="AH87" s="209"/>
      <c r="AI87" s="194"/>
      <c r="AJ87" s="233">
        <f t="shared" si="6"/>
        <v>144</v>
      </c>
      <c r="AK87" s="170">
        <f t="shared" si="6"/>
        <v>2142.7199999999998</v>
      </c>
      <c r="AL87" s="272">
        <v>0</v>
      </c>
      <c r="AM87" s="212">
        <v>0</v>
      </c>
      <c r="AN87" s="269">
        <v>144</v>
      </c>
      <c r="AO87" s="217">
        <f t="shared" ref="AO87" si="10">AC87+AK87-AM87</f>
        <v>2142.7199999999998</v>
      </c>
      <c r="AP87" s="232"/>
      <c r="AQ87" s="229"/>
      <c r="AR87" s="212">
        <v>14.88</v>
      </c>
      <c r="AS87" s="212">
        <f t="shared" si="3"/>
        <v>0</v>
      </c>
      <c r="AT87" s="227">
        <v>144</v>
      </c>
      <c r="AU87" s="228">
        <f t="shared" si="4"/>
        <v>2142.7200000000003</v>
      </c>
      <c r="AV87" s="279">
        <f t="shared" ref="AV87:AV97" si="11">AT87</f>
        <v>144</v>
      </c>
    </row>
    <row r="88" spans="1:48" s="62" customFormat="1" ht="31.5">
      <c r="A88" s="59"/>
      <c r="B88" s="60"/>
      <c r="C88" s="60"/>
      <c r="D88" s="22"/>
      <c r="E88" s="79" t="s">
        <v>24</v>
      </c>
      <c r="F88" s="150" t="s">
        <v>57</v>
      </c>
      <c r="G88" s="222" t="s">
        <v>121</v>
      </c>
      <c r="H88" s="193" t="s">
        <v>91</v>
      </c>
      <c r="I88" s="193" t="s">
        <v>91</v>
      </c>
      <c r="J88" s="193"/>
      <c r="K88" s="193"/>
      <c r="L88" s="243"/>
      <c r="M88" s="242">
        <f t="shared" si="8"/>
        <v>0</v>
      </c>
      <c r="N88" s="243">
        <f t="shared" si="9"/>
        <v>0</v>
      </c>
      <c r="O88" s="193"/>
      <c r="P88" s="243"/>
      <c r="Q88" s="193"/>
      <c r="R88" s="243"/>
      <c r="S88" s="193"/>
      <c r="T88" s="243"/>
      <c r="U88" s="203" t="s">
        <v>183</v>
      </c>
      <c r="V88" s="115">
        <v>1418</v>
      </c>
      <c r="W88" s="114">
        <v>43312</v>
      </c>
      <c r="X88" s="193" t="s">
        <v>184</v>
      </c>
      <c r="Y88" s="200">
        <v>43332</v>
      </c>
      <c r="Z88" s="193" t="s">
        <v>185</v>
      </c>
      <c r="AA88" s="200">
        <v>43320</v>
      </c>
      <c r="AB88" s="22">
        <v>0</v>
      </c>
      <c r="AC88" s="170">
        <v>0</v>
      </c>
      <c r="AD88" s="209">
        <v>76</v>
      </c>
      <c r="AE88" s="194">
        <v>1130.8800000000001</v>
      </c>
      <c r="AF88" s="209"/>
      <c r="AG88" s="194"/>
      <c r="AH88" s="209"/>
      <c r="AI88" s="194"/>
      <c r="AJ88" s="233">
        <f t="shared" si="6"/>
        <v>76</v>
      </c>
      <c r="AK88" s="170">
        <f t="shared" si="6"/>
        <v>1130.8800000000001</v>
      </c>
      <c r="AL88" s="272">
        <v>0</v>
      </c>
      <c r="AM88" s="212">
        <v>0</v>
      </c>
      <c r="AN88" s="269">
        <v>76</v>
      </c>
      <c r="AO88" s="217">
        <v>0</v>
      </c>
      <c r="AP88" s="232"/>
      <c r="AQ88" s="229"/>
      <c r="AR88" s="212">
        <v>14.88</v>
      </c>
      <c r="AS88" s="212">
        <f t="shared" si="3"/>
        <v>0</v>
      </c>
      <c r="AT88" s="227">
        <v>76</v>
      </c>
      <c r="AU88" s="228">
        <f t="shared" si="4"/>
        <v>1130.8800000000001</v>
      </c>
      <c r="AV88" s="279">
        <f t="shared" si="11"/>
        <v>76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121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3">
        <v>45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45</v>
      </c>
      <c r="AU89" s="228"/>
      <c r="AV89" s="279">
        <v>45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78" t="s">
        <v>58</v>
      </c>
      <c r="G90" s="222" t="s">
        <v>123</v>
      </c>
      <c r="H90" s="193" t="s">
        <v>91</v>
      </c>
      <c r="I90" s="193" t="s">
        <v>91</v>
      </c>
      <c r="J90" s="193">
        <v>5</v>
      </c>
      <c r="K90" s="193">
        <v>5</v>
      </c>
      <c r="L90" s="243">
        <v>2899.28</v>
      </c>
      <c r="M90" s="242">
        <f>J90*K90</f>
        <v>25</v>
      </c>
      <c r="N90" s="243">
        <f t="shared" si="9"/>
        <v>72482</v>
      </c>
      <c r="O90" s="193">
        <v>4</v>
      </c>
      <c r="P90" s="243">
        <v>8377.6</v>
      </c>
      <c r="Q90" s="193"/>
      <c r="R90" s="243"/>
      <c r="S90" s="193"/>
      <c r="T90" s="243"/>
      <c r="U90" s="203" t="s">
        <v>122</v>
      </c>
      <c r="V90" s="115">
        <v>1745</v>
      </c>
      <c r="W90" s="114">
        <v>43096</v>
      </c>
      <c r="X90" s="193" t="s">
        <v>117</v>
      </c>
      <c r="Y90" s="200">
        <v>43109</v>
      </c>
      <c r="Z90" s="193" t="s">
        <v>118</v>
      </c>
      <c r="AA90" s="200">
        <v>43133</v>
      </c>
      <c r="AB90" s="22">
        <v>0</v>
      </c>
      <c r="AC90" s="170">
        <v>0</v>
      </c>
      <c r="AD90" s="209">
        <v>4</v>
      </c>
      <c r="AE90" s="194">
        <v>9062.24</v>
      </c>
      <c r="AF90" s="209"/>
      <c r="AG90" s="194"/>
      <c r="AH90" s="209"/>
      <c r="AI90" s="194"/>
      <c r="AJ90" s="233">
        <f t="shared" si="6"/>
        <v>4</v>
      </c>
      <c r="AK90" s="170">
        <f t="shared" si="6"/>
        <v>9062.24</v>
      </c>
      <c r="AL90" s="272">
        <v>0</v>
      </c>
      <c r="AM90" s="212">
        <v>0</v>
      </c>
      <c r="AN90" s="269">
        <v>4</v>
      </c>
      <c r="AO90" s="217">
        <f t="shared" ref="AO90:AO97" si="12">AC90+AK90-AM90</f>
        <v>9062.24</v>
      </c>
      <c r="AP90" s="232"/>
      <c r="AQ90" s="229"/>
      <c r="AR90" s="212">
        <v>2265.56</v>
      </c>
      <c r="AS90" s="212">
        <f t="shared" si="3"/>
        <v>0</v>
      </c>
      <c r="AT90" s="227">
        <v>4</v>
      </c>
      <c r="AU90" s="228">
        <f t="shared" si="4"/>
        <v>9062.24</v>
      </c>
      <c r="AV90" s="279">
        <f t="shared" si="11"/>
        <v>4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78" t="s">
        <v>58</v>
      </c>
      <c r="G91" s="222" t="s">
        <v>123</v>
      </c>
      <c r="H91" s="193" t="s">
        <v>91</v>
      </c>
      <c r="I91" s="193" t="s">
        <v>91</v>
      </c>
      <c r="J91" s="193"/>
      <c r="K91" s="193"/>
      <c r="L91" s="243"/>
      <c r="M91" s="242">
        <f t="shared" ref="M91:M97" si="13">J91*K91</f>
        <v>0</v>
      </c>
      <c r="N91" s="243">
        <f>L91*M91</f>
        <v>0</v>
      </c>
      <c r="O91" s="193"/>
      <c r="P91" s="243"/>
      <c r="Q91" s="193"/>
      <c r="R91" s="243"/>
      <c r="S91" s="193"/>
      <c r="T91" s="243"/>
      <c r="U91" s="203" t="s">
        <v>170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</v>
      </c>
      <c r="AE91" s="194">
        <v>4531.12</v>
      </c>
      <c r="AF91" s="209"/>
      <c r="AG91" s="194"/>
      <c r="AH91" s="209"/>
      <c r="AI91" s="194"/>
      <c r="AJ91" s="233">
        <f t="shared" si="6"/>
        <v>2</v>
      </c>
      <c r="AK91" s="170">
        <f t="shared" si="6"/>
        <v>4531.12</v>
      </c>
      <c r="AL91" s="272">
        <v>0</v>
      </c>
      <c r="AM91" s="212">
        <v>0</v>
      </c>
      <c r="AN91" s="269">
        <v>2</v>
      </c>
      <c r="AO91" s="217">
        <f t="shared" si="12"/>
        <v>4531.12</v>
      </c>
      <c r="AP91" s="232"/>
      <c r="AQ91" s="229"/>
      <c r="AR91" s="212">
        <v>2265.56</v>
      </c>
      <c r="AS91" s="212">
        <f t="shared" ref="AS91:AS97" si="14">AQ91*AR91</f>
        <v>0</v>
      </c>
      <c r="AT91" s="227">
        <v>2</v>
      </c>
      <c r="AU91" s="228">
        <f t="shared" ref="AU91:AU97" si="15">AT91*AR91</f>
        <v>4531.12</v>
      </c>
      <c r="AV91" s="279">
        <f t="shared" si="11"/>
        <v>2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si="13"/>
        <v>144</v>
      </c>
      <c r="N92" s="243">
        <f t="shared" ref="N92:N97" si="16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3">
        <f t="shared" ref="AJ92:AK97" si="17">AD92+AF92+AH92</f>
        <v>14</v>
      </c>
      <c r="AK92" s="170">
        <f t="shared" si="17"/>
        <v>774.48</v>
      </c>
      <c r="AL92" s="272">
        <v>0</v>
      </c>
      <c r="AM92" s="212">
        <v>0</v>
      </c>
      <c r="AN92" s="269">
        <v>14</v>
      </c>
      <c r="AO92" s="217">
        <f t="shared" si="12"/>
        <v>774.48</v>
      </c>
      <c r="AP92" s="232"/>
      <c r="AQ92" s="229"/>
      <c r="AR92" s="212">
        <v>55.32</v>
      </c>
      <c r="AS92" s="212">
        <f t="shared" si="14"/>
        <v>0</v>
      </c>
      <c r="AT92" s="227">
        <f>14-2</f>
        <v>12</v>
      </c>
      <c r="AU92" s="228">
        <f t="shared" si="15"/>
        <v>663.84</v>
      </c>
      <c r="AV92" s="279">
        <f t="shared" si="11"/>
        <v>12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3"/>
        <v>0</v>
      </c>
      <c r="N93" s="243">
        <f t="shared" si="16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3">
        <f t="shared" si="17"/>
        <v>26</v>
      </c>
      <c r="AK93" s="170">
        <f t="shared" si="17"/>
        <v>1438.32</v>
      </c>
      <c r="AL93" s="272">
        <v>0</v>
      </c>
      <c r="AM93" s="212">
        <v>0</v>
      </c>
      <c r="AN93" s="269">
        <v>26</v>
      </c>
      <c r="AO93" s="217">
        <f t="shared" si="12"/>
        <v>1438.32</v>
      </c>
      <c r="AP93" s="232"/>
      <c r="AQ93" s="229"/>
      <c r="AR93" s="212">
        <v>55.32</v>
      </c>
      <c r="AS93" s="212">
        <f t="shared" si="14"/>
        <v>0</v>
      </c>
      <c r="AT93" s="227">
        <v>26</v>
      </c>
      <c r="AU93" s="228">
        <f t="shared" si="15"/>
        <v>1438.32</v>
      </c>
      <c r="AV93" s="279">
        <f t="shared" si="11"/>
        <v>26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79" t="s">
        <v>62</v>
      </c>
      <c r="G94" s="222" t="s">
        <v>129</v>
      </c>
      <c r="H94" s="193" t="s">
        <v>91</v>
      </c>
      <c r="I94" s="193" t="s">
        <v>91</v>
      </c>
      <c r="J94" s="193">
        <v>24</v>
      </c>
      <c r="K94" s="193">
        <v>4</v>
      </c>
      <c r="L94" s="243">
        <v>984.1</v>
      </c>
      <c r="M94" s="242">
        <f t="shared" si="13"/>
        <v>96</v>
      </c>
      <c r="N94" s="243">
        <f t="shared" si="16"/>
        <v>94473.600000000006</v>
      </c>
      <c r="O94" s="193">
        <v>6</v>
      </c>
      <c r="P94" s="243">
        <v>4721.3999999999996</v>
      </c>
      <c r="Q94" s="193"/>
      <c r="R94" s="243"/>
      <c r="S94" s="193"/>
      <c r="T94" s="243"/>
      <c r="U94" s="203" t="s">
        <v>130</v>
      </c>
      <c r="V94" s="115">
        <v>135</v>
      </c>
      <c r="W94" s="114">
        <v>42761</v>
      </c>
      <c r="X94" s="193" t="s">
        <v>126</v>
      </c>
      <c r="Y94" s="200">
        <v>43130</v>
      </c>
      <c r="Z94" s="193"/>
      <c r="AA94" s="193"/>
      <c r="AB94" s="22">
        <v>0</v>
      </c>
      <c r="AC94" s="170">
        <v>0</v>
      </c>
      <c r="AD94" s="209">
        <v>6</v>
      </c>
      <c r="AE94" s="194">
        <v>4549.08</v>
      </c>
      <c r="AF94" s="209"/>
      <c r="AG94" s="194"/>
      <c r="AH94" s="209"/>
      <c r="AI94" s="194"/>
      <c r="AJ94" s="233">
        <f t="shared" si="17"/>
        <v>6</v>
      </c>
      <c r="AK94" s="170">
        <f t="shared" si="17"/>
        <v>4549.08</v>
      </c>
      <c r="AL94" s="272">
        <v>0</v>
      </c>
      <c r="AM94" s="212">
        <v>0</v>
      </c>
      <c r="AN94" s="269">
        <v>6</v>
      </c>
      <c r="AO94" s="217">
        <f t="shared" si="12"/>
        <v>4549.08</v>
      </c>
      <c r="AP94" s="232"/>
      <c r="AQ94" s="229"/>
      <c r="AR94" s="212">
        <v>758.18</v>
      </c>
      <c r="AS94" s="212">
        <f t="shared" si="14"/>
        <v>0</v>
      </c>
      <c r="AT94" s="227">
        <v>6</v>
      </c>
      <c r="AU94" s="228">
        <f t="shared" si="15"/>
        <v>4549.08</v>
      </c>
      <c r="AV94" s="279">
        <f t="shared" si="11"/>
        <v>6</v>
      </c>
    </row>
    <row r="95" spans="1:48" s="62" customFormat="1" ht="26.25" customHeight="1">
      <c r="A95" s="59"/>
      <c r="B95" s="60"/>
      <c r="C95" s="60"/>
      <c r="D95" s="22"/>
      <c r="E95" s="79" t="s">
        <v>24</v>
      </c>
      <c r="F95" s="179" t="s">
        <v>62</v>
      </c>
      <c r="G95" s="222" t="s">
        <v>129</v>
      </c>
      <c r="H95" s="193" t="s">
        <v>91</v>
      </c>
      <c r="I95" s="193" t="s">
        <v>91</v>
      </c>
      <c r="J95" s="193"/>
      <c r="K95" s="193"/>
      <c r="L95" s="243"/>
      <c r="M95" s="242">
        <f t="shared" si="13"/>
        <v>0</v>
      </c>
      <c r="N95" s="243">
        <f t="shared" si="16"/>
        <v>0</v>
      </c>
      <c r="O95" s="193"/>
      <c r="P95" s="243"/>
      <c r="Q95" s="193"/>
      <c r="R95" s="243"/>
      <c r="S95" s="193"/>
      <c r="T95" s="243"/>
      <c r="U95" s="203" t="s">
        <v>172</v>
      </c>
      <c r="V95" s="115">
        <v>834</v>
      </c>
      <c r="W95" s="114">
        <v>43222</v>
      </c>
      <c r="X95" s="193" t="s">
        <v>162</v>
      </c>
      <c r="Y95" s="200">
        <v>43242</v>
      </c>
      <c r="Z95" s="193"/>
      <c r="AA95" s="193"/>
      <c r="AB95" s="22">
        <v>0</v>
      </c>
      <c r="AC95" s="170">
        <v>0</v>
      </c>
      <c r="AD95" s="209">
        <v>10</v>
      </c>
      <c r="AE95" s="194">
        <v>7581.8</v>
      </c>
      <c r="AF95" s="209"/>
      <c r="AG95" s="194"/>
      <c r="AH95" s="209"/>
      <c r="AI95" s="194"/>
      <c r="AJ95" s="233">
        <f t="shared" si="17"/>
        <v>10</v>
      </c>
      <c r="AK95" s="170">
        <f t="shared" si="17"/>
        <v>7581.8</v>
      </c>
      <c r="AL95" s="272">
        <v>0</v>
      </c>
      <c r="AM95" s="212">
        <v>0</v>
      </c>
      <c r="AN95" s="269">
        <v>10</v>
      </c>
      <c r="AO95" s="217">
        <f t="shared" si="12"/>
        <v>7581.8</v>
      </c>
      <c r="AP95" s="232"/>
      <c r="AQ95" s="229"/>
      <c r="AR95" s="212">
        <v>758.18</v>
      </c>
      <c r="AS95" s="212">
        <f t="shared" si="14"/>
        <v>0</v>
      </c>
      <c r="AT95" s="227">
        <v>10</v>
      </c>
      <c r="AU95" s="228">
        <f t="shared" si="15"/>
        <v>7581.7999999999993</v>
      </c>
      <c r="AV95" s="279">
        <f t="shared" si="11"/>
        <v>10</v>
      </c>
    </row>
    <row r="96" spans="1:48" s="62" customFormat="1" ht="26.25" customHeight="1">
      <c r="A96" s="59"/>
      <c r="B96" s="60"/>
      <c r="C96" s="60"/>
      <c r="D96" s="22"/>
      <c r="E96" s="79"/>
      <c r="F96" s="179" t="s">
        <v>62</v>
      </c>
      <c r="G96" s="222" t="s">
        <v>129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/>
      <c r="V96" s="115"/>
      <c r="W96" s="114"/>
      <c r="X96" s="193"/>
      <c r="Y96" s="200"/>
      <c r="Z96" s="193"/>
      <c r="AA96" s="193"/>
      <c r="AB96" s="22"/>
      <c r="AC96" s="170"/>
      <c r="AD96" s="209"/>
      <c r="AE96" s="194"/>
      <c r="AF96" s="209"/>
      <c r="AG96" s="194"/>
      <c r="AH96" s="209"/>
      <c r="AI96" s="194"/>
      <c r="AJ96" s="233">
        <v>4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27">
        <v>4</v>
      </c>
      <c r="AU96" s="228"/>
      <c r="AV96" s="279">
        <v>4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91" t="s">
        <v>66</v>
      </c>
      <c r="G97" s="222" t="s">
        <v>135</v>
      </c>
      <c r="H97" s="193" t="s">
        <v>91</v>
      </c>
      <c r="I97" s="193" t="s">
        <v>91</v>
      </c>
      <c r="J97" s="193">
        <v>4</v>
      </c>
      <c r="K97" s="193">
        <v>4</v>
      </c>
      <c r="L97" s="243">
        <v>2051.94</v>
      </c>
      <c r="M97" s="242">
        <f t="shared" si="13"/>
        <v>16</v>
      </c>
      <c r="N97" s="243">
        <f t="shared" si="16"/>
        <v>32831.040000000001</v>
      </c>
      <c r="O97" s="193">
        <v>4</v>
      </c>
      <c r="P97" s="243">
        <v>4104.6400000000003</v>
      </c>
      <c r="Q97" s="193"/>
      <c r="R97" s="243"/>
      <c r="S97" s="193"/>
      <c r="T97" s="243"/>
      <c r="U97" s="203">
        <v>1633600163</v>
      </c>
      <c r="V97" s="115">
        <v>260</v>
      </c>
      <c r="W97" s="114">
        <v>43145</v>
      </c>
      <c r="X97" s="193" t="s">
        <v>94</v>
      </c>
      <c r="Y97" s="200">
        <v>43164</v>
      </c>
      <c r="Z97" s="193"/>
      <c r="AA97" s="193"/>
      <c r="AB97" s="22">
        <v>0</v>
      </c>
      <c r="AC97" s="170">
        <v>0</v>
      </c>
      <c r="AD97" s="209">
        <v>2</v>
      </c>
      <c r="AE97" s="194">
        <f>2020.4+2020.4</f>
        <v>4040.8</v>
      </c>
      <c r="AF97" s="209"/>
      <c r="AG97" s="194"/>
      <c r="AH97" s="209"/>
      <c r="AI97" s="194"/>
      <c r="AJ97" s="233">
        <f t="shared" si="17"/>
        <v>2</v>
      </c>
      <c r="AK97" s="170">
        <f t="shared" si="17"/>
        <v>4040.8</v>
      </c>
      <c r="AL97" s="272">
        <v>0</v>
      </c>
      <c r="AM97" s="212">
        <v>0</v>
      </c>
      <c r="AN97" s="269">
        <v>2</v>
      </c>
      <c r="AO97" s="217">
        <f t="shared" si="12"/>
        <v>4040.8</v>
      </c>
      <c r="AP97" s="232"/>
      <c r="AQ97" s="229"/>
      <c r="AR97" s="212">
        <v>2020.4</v>
      </c>
      <c r="AS97" s="212">
        <f t="shared" si="14"/>
        <v>0</v>
      </c>
      <c r="AT97" s="227">
        <v>2</v>
      </c>
      <c r="AU97" s="228">
        <f t="shared" si="15"/>
        <v>4040.8</v>
      </c>
      <c r="AV97" s="279">
        <f t="shared" si="11"/>
        <v>2</v>
      </c>
    </row>
    <row r="98" spans="1:48" s="251" customFormat="1" ht="21" customHeight="1">
      <c r="A98" s="20" t="s">
        <v>11</v>
      </c>
      <c r="B98" s="20"/>
      <c r="C98" s="20"/>
      <c r="D98" s="695" t="s">
        <v>34</v>
      </c>
      <c r="E98" s="696"/>
      <c r="F98" s="697"/>
      <c r="G98" s="246"/>
      <c r="H98" s="246"/>
      <c r="I98" s="246"/>
      <c r="J98" s="246"/>
      <c r="K98" s="247">
        <f>SUM(K17:K97)</f>
        <v>34</v>
      </c>
      <c r="L98" s="248"/>
      <c r="M98" s="246"/>
      <c r="N98" s="249">
        <f>SUM(N17:N97)</f>
        <v>3452363.2</v>
      </c>
      <c r="O98" s="248"/>
      <c r="P98" s="249">
        <f t="shared" ref="P98:T98" si="18">SUM(P17:P97)</f>
        <v>1903757.27</v>
      </c>
      <c r="Q98" s="248"/>
      <c r="R98" s="249">
        <f t="shared" si="18"/>
        <v>1395649.94</v>
      </c>
      <c r="S98" s="248"/>
      <c r="T98" s="249">
        <f t="shared" si="18"/>
        <v>1083638.72</v>
      </c>
      <c r="U98" s="291" t="s">
        <v>156</v>
      </c>
      <c r="V98" s="291" t="s">
        <v>156</v>
      </c>
      <c r="W98" s="291" t="s">
        <v>156</v>
      </c>
      <c r="X98" s="250" t="s">
        <v>156</v>
      </c>
      <c r="Y98" s="250" t="s">
        <v>156</v>
      </c>
      <c r="Z98" s="250" t="s">
        <v>156</v>
      </c>
      <c r="AA98" s="250" t="s">
        <v>156</v>
      </c>
      <c r="AB98" s="176">
        <f>SUM(AB17:AB41)</f>
        <v>1342</v>
      </c>
      <c r="AC98" s="171">
        <f>SUM(AC17:AC78)</f>
        <v>493758.06</v>
      </c>
      <c r="AD98" s="210">
        <f>SUM(AD17:AD97)</f>
        <v>13168</v>
      </c>
      <c r="AE98" s="195">
        <f t="shared" ref="AE98:AM98" si="19">SUM(AE17:AE97)</f>
        <v>1524549.46</v>
      </c>
      <c r="AF98" s="210">
        <f t="shared" si="19"/>
        <v>0</v>
      </c>
      <c r="AG98" s="195">
        <f t="shared" si="19"/>
        <v>0</v>
      </c>
      <c r="AH98" s="210">
        <f t="shared" si="19"/>
        <v>0</v>
      </c>
      <c r="AI98" s="195">
        <f t="shared" si="19"/>
        <v>0</v>
      </c>
      <c r="AJ98" s="176">
        <f>SUM(AJ17:AJ97)</f>
        <v>13646</v>
      </c>
      <c r="AK98" s="175">
        <f>SUM(AK17:AK97)</f>
        <v>1524549.46</v>
      </c>
      <c r="AL98" s="213">
        <f t="shared" si="19"/>
        <v>2245</v>
      </c>
      <c r="AM98" s="214">
        <f t="shared" si="19"/>
        <v>504590.05000000005</v>
      </c>
      <c r="AN98" s="218">
        <f>SUM(AN17:AN97)</f>
        <v>12265</v>
      </c>
      <c r="AO98" s="219">
        <f>SUM(AO17:AO97)</f>
        <v>1495993.66</v>
      </c>
      <c r="AP98" s="286">
        <f>SUM(AP17:AP97)</f>
        <v>0</v>
      </c>
      <c r="AQ98" s="287">
        <f>SUM(AQ17:AQ97)</f>
        <v>0</v>
      </c>
      <c r="AR98" s="226" t="s">
        <v>156</v>
      </c>
      <c r="AS98" s="226">
        <f>SUM(AS17:AS97)</f>
        <v>0</v>
      </c>
      <c r="AT98" s="261">
        <f>SUM(AT17:AT97)</f>
        <v>4689</v>
      </c>
      <c r="AU98" s="228">
        <f>SUM(AU17:AU97)</f>
        <v>926104.67</v>
      </c>
      <c r="AV98" s="236">
        <f>SUM(AV17:AV97)</f>
        <v>4689</v>
      </c>
    </row>
    <row r="99" spans="1:48" s="336" customFormat="1" ht="21" customHeight="1">
      <c r="A99" s="20"/>
      <c r="B99" s="20"/>
      <c r="C99" s="20"/>
      <c r="D99" s="294"/>
      <c r="E99" s="294"/>
      <c r="F99" s="294"/>
      <c r="G99" s="330"/>
      <c r="H99" s="330"/>
      <c r="I99" s="330"/>
      <c r="J99" s="330"/>
      <c r="K99" s="331"/>
      <c r="L99" s="332"/>
      <c r="M99" s="330"/>
      <c r="N99" s="333"/>
      <c r="O99" s="332"/>
      <c r="P99" s="333"/>
      <c r="Q99" s="332"/>
      <c r="R99" s="333"/>
      <c r="S99" s="332"/>
      <c r="T99" s="333"/>
      <c r="U99" s="295"/>
      <c r="V99" s="295"/>
      <c r="W99" s="295"/>
      <c r="X99" s="295"/>
      <c r="Y99" s="295"/>
      <c r="Z99" s="295"/>
      <c r="AA99" s="295"/>
      <c r="AB99" s="296"/>
      <c r="AC99" s="297"/>
      <c r="AD99" s="296"/>
      <c r="AE99" s="297"/>
      <c r="AF99" s="296"/>
      <c r="AG99" s="297"/>
      <c r="AH99" s="296"/>
      <c r="AI99" s="297"/>
      <c r="AJ99" s="298"/>
      <c r="AK99" s="299"/>
      <c r="AL99" s="334"/>
      <c r="AM99" s="297"/>
      <c r="AN99" s="296"/>
      <c r="AO99" s="297"/>
      <c r="AP99" s="298"/>
      <c r="AQ99" s="335"/>
      <c r="AR99" s="333"/>
      <c r="AS99" s="333"/>
      <c r="AT99" s="331"/>
      <c r="AU99" s="333"/>
      <c r="AV99" s="331"/>
    </row>
    <row r="100" spans="1:48" s="336" customFormat="1" ht="21" hidden="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29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292" customFormat="1" ht="20.25" hidden="1">
      <c r="A101" s="301"/>
      <c r="B101" s="301"/>
      <c r="C101" s="301"/>
      <c r="D101" s="302"/>
      <c r="E101" s="301"/>
      <c r="F101" s="303" t="s">
        <v>205</v>
      </c>
      <c r="G101" s="303"/>
      <c r="H101" s="303" t="s">
        <v>208</v>
      </c>
      <c r="I101" s="303"/>
      <c r="J101" s="304"/>
      <c r="K101" s="304"/>
      <c r="L101" s="304"/>
      <c r="M101" s="304"/>
      <c r="N101" s="304"/>
      <c r="O101" s="304"/>
      <c r="P101" s="304"/>
      <c r="Q101" s="304"/>
      <c r="R101" s="304"/>
      <c r="S101" s="304"/>
      <c r="T101" s="304"/>
      <c r="U101" s="303"/>
      <c r="V101" s="303"/>
      <c r="X101" s="303"/>
      <c r="Y101" s="303"/>
      <c r="Z101" s="303"/>
      <c r="AA101" s="303" t="s">
        <v>208</v>
      </c>
      <c r="AB101" s="303"/>
      <c r="AC101" s="303"/>
      <c r="AD101" s="303"/>
      <c r="AE101" s="303"/>
      <c r="AF101" s="303"/>
      <c r="AG101" s="303"/>
      <c r="AH101" s="303"/>
      <c r="AI101" s="303"/>
      <c r="AJ101" s="301"/>
      <c r="AK101" s="303"/>
      <c r="AL101" s="301"/>
      <c r="AM101" s="303"/>
      <c r="AN101" s="305"/>
      <c r="AO101" s="306"/>
      <c r="AP101" s="307"/>
      <c r="AQ101" s="302"/>
      <c r="AR101" s="308"/>
      <c r="AS101" s="308"/>
      <c r="AT101" s="302"/>
      <c r="AU101" s="302"/>
      <c r="AV101" s="302"/>
    </row>
    <row r="102" spans="1:48" s="292" customFormat="1" ht="20.25" hidden="1">
      <c r="A102" s="301"/>
      <c r="B102" s="301"/>
      <c r="C102" s="301"/>
      <c r="D102" s="302"/>
      <c r="E102" s="301"/>
      <c r="F102" s="303"/>
      <c r="G102" s="303"/>
      <c r="H102" s="303"/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/>
      <c r="AB102" s="303"/>
      <c r="AC102" s="303"/>
      <c r="AD102" s="303"/>
      <c r="AE102" s="303"/>
      <c r="AF102" s="303"/>
      <c r="AG102" s="303"/>
      <c r="AH102" s="303"/>
      <c r="AI102" s="303"/>
      <c r="AJ102" s="301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1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15" hidden="1" customHeight="1">
      <c r="A104" s="309"/>
      <c r="B104" s="309"/>
      <c r="C104" s="309"/>
      <c r="D104" s="302"/>
      <c r="E104" s="309"/>
      <c r="F104" s="310"/>
      <c r="G104" s="310"/>
      <c r="H104" s="308"/>
      <c r="I104" s="308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8"/>
      <c r="V104" s="311"/>
      <c r="AA104" s="311"/>
      <c r="AJ104" s="293"/>
      <c r="AK104" s="312"/>
      <c r="AL104" s="309"/>
      <c r="AM104" s="31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8" hidden="1" customHeight="1">
      <c r="A105" s="314" t="s">
        <v>12</v>
      </c>
      <c r="B105" s="314"/>
      <c r="C105" s="314"/>
      <c r="D105" s="315"/>
      <c r="E105" s="314"/>
      <c r="F105" s="316" t="s">
        <v>206</v>
      </c>
      <c r="G105" s="316"/>
      <c r="H105" s="736" t="s">
        <v>209</v>
      </c>
      <c r="I105" s="736"/>
      <c r="J105" s="736"/>
      <c r="K105" s="317"/>
      <c r="L105" s="317"/>
      <c r="M105" s="317"/>
      <c r="N105" s="317"/>
      <c r="O105" s="317"/>
      <c r="P105" s="317"/>
      <c r="Q105" s="317"/>
      <c r="R105" s="317"/>
      <c r="S105" s="317"/>
      <c r="T105" s="317"/>
      <c r="U105" s="318"/>
      <c r="V105" s="319"/>
      <c r="X105" s="303"/>
      <c r="Y105" s="316"/>
      <c r="Z105" s="316"/>
      <c r="AA105" s="320" t="s">
        <v>209</v>
      </c>
      <c r="AB105" s="316"/>
      <c r="AC105" s="316"/>
      <c r="AD105" s="316"/>
      <c r="AE105" s="316"/>
      <c r="AF105" s="316"/>
      <c r="AG105" s="316"/>
      <c r="AH105" s="316"/>
      <c r="AI105" s="316"/>
      <c r="AJ105" s="314"/>
      <c r="AK105" s="316"/>
      <c r="AL105" s="314"/>
      <c r="AM105" s="316"/>
      <c r="AN105" s="314"/>
      <c r="AO105" s="321"/>
      <c r="AP105" s="307"/>
      <c r="AQ105" s="302"/>
      <c r="AR105" s="308"/>
      <c r="AS105" s="308"/>
      <c r="AT105" s="302"/>
      <c r="AU105" s="302"/>
      <c r="AV105" s="302"/>
    </row>
    <row r="106" spans="1:48" s="62" customFormat="1" ht="18.75" hidden="1">
      <c r="A106" s="11"/>
      <c r="B106" s="11"/>
      <c r="C106" s="11"/>
      <c r="D106" s="255"/>
      <c r="E106" s="11"/>
      <c r="F106" s="322"/>
      <c r="G106" s="322"/>
      <c r="H106" s="322"/>
      <c r="I106" s="322"/>
      <c r="J106" s="323"/>
      <c r="K106" s="323"/>
      <c r="L106" s="323"/>
      <c r="M106" s="323"/>
      <c r="N106" s="323"/>
      <c r="O106" s="323"/>
      <c r="P106" s="323"/>
      <c r="Q106" s="323"/>
      <c r="R106" s="323"/>
      <c r="S106" s="323"/>
      <c r="T106" s="323"/>
      <c r="U106" s="322"/>
      <c r="V106" s="322"/>
      <c r="W106" s="322"/>
      <c r="X106" s="322"/>
      <c r="Y106" s="322"/>
      <c r="Z106" s="322"/>
      <c r="AA106" s="322"/>
      <c r="AB106" s="322"/>
      <c r="AC106" s="322"/>
      <c r="AD106" s="322"/>
      <c r="AE106" s="322"/>
      <c r="AF106" s="322"/>
      <c r="AG106" s="322"/>
      <c r="AH106" s="322"/>
      <c r="AI106" s="322"/>
      <c r="AJ106" s="324"/>
      <c r="AK106" s="322"/>
      <c r="AL106" s="324"/>
      <c r="AM106" s="322"/>
      <c r="AN106" s="281"/>
      <c r="AO106" s="325"/>
      <c r="AP106" s="326"/>
      <c r="AQ106" s="452"/>
      <c r="AR106" s="255"/>
      <c r="AS106" s="255"/>
      <c r="AT106" s="452"/>
      <c r="AU106" s="452"/>
      <c r="AV106" s="452"/>
    </row>
    <row r="107" spans="1:48" s="103" customFormat="1" ht="57.75" hidden="1" customHeight="1">
      <c r="A107" s="11"/>
      <c r="B107" s="11"/>
      <c r="C107" s="11"/>
      <c r="D107" s="255"/>
      <c r="E107" s="720" t="s">
        <v>207</v>
      </c>
      <c r="F107" s="720"/>
      <c r="G107" s="327"/>
      <c r="H107" s="328"/>
      <c r="I107" s="328"/>
      <c r="J107" s="328"/>
      <c r="K107" s="328"/>
      <c r="L107" s="328"/>
      <c r="M107" s="328"/>
      <c r="N107" s="328"/>
      <c r="O107" s="328"/>
      <c r="P107" s="328"/>
      <c r="Q107" s="328"/>
      <c r="R107" s="328"/>
      <c r="S107" s="328"/>
      <c r="T107" s="328"/>
      <c r="U107" s="328"/>
      <c r="V107" s="329"/>
      <c r="W107" s="329"/>
      <c r="X107" s="11"/>
      <c r="Y107" s="11"/>
      <c r="Z107" s="11"/>
      <c r="AA107" s="11"/>
      <c r="AB107" s="11"/>
      <c r="AC107" s="11"/>
      <c r="AD107" s="11"/>
      <c r="AE107" s="11"/>
      <c r="AF107" s="11"/>
      <c r="AG107" s="11"/>
      <c r="AH107" s="11"/>
      <c r="AI107" s="11"/>
      <c r="AJ107" s="281"/>
      <c r="AK107" s="11"/>
      <c r="AL107" s="281"/>
      <c r="AM107" s="11"/>
      <c r="AN107" s="281"/>
      <c r="AP107" s="326"/>
      <c r="AQ107" s="452"/>
      <c r="AR107" s="255"/>
      <c r="AS107" s="255"/>
      <c r="AT107" s="452"/>
      <c r="AU107" s="452"/>
      <c r="AV107" s="452"/>
    </row>
  </sheetData>
  <mergeCells count="40">
    <mergeCell ref="D11:AV11"/>
    <mergeCell ref="E6:AT6"/>
    <mergeCell ref="D7:AV7"/>
    <mergeCell ref="D8:AV8"/>
    <mergeCell ref="D9:AV9"/>
    <mergeCell ref="D10:AV10"/>
    <mergeCell ref="E107:F107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8:F98"/>
    <mergeCell ref="H105:J105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8"/>
  <sheetViews>
    <sheetView view="pageBreakPreview" topLeftCell="C85" zoomScale="70" zoomScaleSheetLayoutView="70" workbookViewId="0">
      <selection activeCell="F92" sqref="F92"/>
    </sheetView>
  </sheetViews>
  <sheetFormatPr defaultRowHeight="15.75"/>
  <cols>
    <col min="1" max="2" width="0" hidden="1" customWidth="1"/>
    <col min="3" max="3" width="3.5703125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282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458"/>
      <c r="AR1" s="255"/>
      <c r="AS1" s="255"/>
      <c r="AT1" s="458"/>
      <c r="AU1" s="458"/>
      <c r="AV1" s="45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5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5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255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350"/>
      <c r="AO12" s="256"/>
      <c r="AP12" s="326"/>
      <c r="AQ12" s="458"/>
      <c r="AR12" s="255"/>
      <c r="AS12" s="255"/>
      <c r="AT12" s="459"/>
      <c r="AU12" s="459"/>
      <c r="AV12" s="45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257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256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459"/>
      <c r="D16" s="748"/>
      <c r="E16" s="685"/>
      <c r="F16" s="685"/>
      <c r="G16" s="202"/>
      <c r="H16" s="201"/>
      <c r="I16" s="201"/>
      <c r="J16" s="241"/>
      <c r="K16" s="241"/>
      <c r="L16" s="241"/>
      <c r="M16" s="457" t="s">
        <v>77</v>
      </c>
      <c r="N16" s="457" t="s">
        <v>78</v>
      </c>
      <c r="O16" s="457" t="s">
        <v>77</v>
      </c>
      <c r="P16" s="457" t="s">
        <v>78</v>
      </c>
      <c r="Q16" s="457" t="s">
        <v>77</v>
      </c>
      <c r="R16" s="457" t="s">
        <v>78</v>
      </c>
      <c r="S16" s="457" t="s">
        <v>77</v>
      </c>
      <c r="T16" s="457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56" t="s">
        <v>77</v>
      </c>
      <c r="AE16" s="456" t="s">
        <v>78</v>
      </c>
      <c r="AF16" s="205" t="s">
        <v>77</v>
      </c>
      <c r="AG16" s="205" t="s">
        <v>78</v>
      </c>
      <c r="AH16" s="456" t="s">
        <v>77</v>
      </c>
      <c r="AI16" s="456" t="s">
        <v>78</v>
      </c>
      <c r="AJ16" s="97" t="s">
        <v>96</v>
      </c>
      <c r="AK16" s="96" t="s">
        <v>19</v>
      </c>
      <c r="AL16" s="454" t="s">
        <v>96</v>
      </c>
      <c r="AM16" s="454" t="s">
        <v>19</v>
      </c>
      <c r="AN16" s="216" t="s">
        <v>96</v>
      </c>
      <c r="AO16" s="216" t="s">
        <v>19</v>
      </c>
      <c r="AP16" s="207" t="s">
        <v>96</v>
      </c>
      <c r="AQ16" s="454" t="s">
        <v>96</v>
      </c>
      <c r="AR16" s="454" t="s">
        <v>107</v>
      </c>
      <c r="AS16" s="454" t="s">
        <v>19</v>
      </c>
      <c r="AT16" s="455" t="s">
        <v>96</v>
      </c>
      <c r="AU16" s="455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3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5" si="0">J18*K18</f>
        <v>0</v>
      </c>
      <c r="N18" s="243">
        <f t="shared" ref="N18:N87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/>
      <c r="AK18" s="170">
        <f>AE18+AG18+AI18</f>
        <v>0</v>
      </c>
      <c r="AL18" s="272"/>
      <c r="AM18" s="212"/>
      <c r="AN18" s="227">
        <v>1</v>
      </c>
      <c r="AO18" s="217">
        <f t="shared" ref="AO18:AO87" si="2">AC18+AK18-AM18</f>
        <v>1026.1600000000001</v>
      </c>
      <c r="AP18" s="232"/>
      <c r="AQ18" s="229"/>
      <c r="AR18" s="212">
        <v>1026.1600000000001</v>
      </c>
      <c r="AS18" s="212">
        <f t="shared" ref="AS18:AS91" si="3">AQ18*AR18</f>
        <v>0</v>
      </c>
      <c r="AT18" s="227">
        <v>1</v>
      </c>
      <c r="AU18" s="228">
        <f t="shared" ref="AU18:AU91" si="4">AT18*AR18</f>
        <v>1026.1600000000001</v>
      </c>
      <c r="AV18" s="279">
        <f t="shared" ref="AV18:AV87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/>
      <c r="AK19" s="170">
        <f t="shared" ref="AK19:AK92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4.75" customHeight="1">
      <c r="A20" s="59"/>
      <c r="B20" s="60"/>
      <c r="C20" s="60"/>
      <c r="D20" s="22"/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/>
      <c r="AK20" s="170">
        <f t="shared" si="6"/>
        <v>0</v>
      </c>
      <c r="AL20" s="272"/>
      <c r="AM20" s="212"/>
      <c r="AN20" s="269"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27">
        <v>1</v>
      </c>
      <c r="AU20" s="228">
        <f t="shared" si="4"/>
        <v>2094.4</v>
      </c>
      <c r="AV20" s="279">
        <f t="shared" si="5"/>
        <v>1</v>
      </c>
    </row>
    <row r="21" spans="1:48" s="89" customFormat="1" ht="33.75">
      <c r="A21" s="80"/>
      <c r="B21" s="81"/>
      <c r="C21" s="60"/>
      <c r="D21" s="22"/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/>
      <c r="AK21" s="170">
        <f t="shared" si="6"/>
        <v>0</v>
      </c>
      <c r="AL21" s="272"/>
      <c r="AM21" s="212"/>
      <c r="AN21" s="269"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27">
        <v>1</v>
      </c>
      <c r="AU21" s="228">
        <f t="shared" si="4"/>
        <v>2094.4</v>
      </c>
      <c r="AV21" s="279">
        <f t="shared" si="5"/>
        <v>1</v>
      </c>
    </row>
    <row r="22" spans="1:48" s="62" customFormat="1" ht="24" customHeight="1">
      <c r="A22" s="59"/>
      <c r="B22" s="60"/>
      <c r="C22" s="60"/>
      <c r="D22" s="22"/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/>
      <c r="AK22" s="170">
        <f t="shared" si="6"/>
        <v>0</v>
      </c>
      <c r="AL22" s="272">
        <f>1</f>
        <v>1</v>
      </c>
      <c r="AM22" s="212">
        <f>786.9</f>
        <v>786.9</v>
      </c>
      <c r="AN22" s="269">
        <v>5</v>
      </c>
      <c r="AO22" s="217">
        <f>AN22*AR22</f>
        <v>3934.5</v>
      </c>
      <c r="AP22" s="232"/>
      <c r="AQ22" s="229"/>
      <c r="AR22" s="212">
        <v>786.9</v>
      </c>
      <c r="AS22" s="212">
        <f t="shared" si="3"/>
        <v>0</v>
      </c>
      <c r="AT22" s="227">
        <f>5-1</f>
        <v>4</v>
      </c>
      <c r="AU22" s="228">
        <f t="shared" si="4"/>
        <v>3147.6</v>
      </c>
      <c r="AV22" s="279">
        <f t="shared" si="5"/>
        <v>4</v>
      </c>
    </row>
    <row r="23" spans="1:48" s="62" customFormat="1" ht="29.25" customHeight="1">
      <c r="A23" s="59"/>
      <c r="B23" s="60"/>
      <c r="C23" s="60"/>
      <c r="D23" s="22"/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/>
      <c r="AK23" s="170">
        <f t="shared" si="6"/>
        <v>0</v>
      </c>
      <c r="AL23" s="272"/>
      <c r="AM23" s="212"/>
      <c r="AN23" s="269"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27">
        <v>4</v>
      </c>
      <c r="AU23" s="228">
        <f t="shared" si="4"/>
        <v>8081.6</v>
      </c>
      <c r="AV23" s="279">
        <f t="shared" si="5"/>
        <v>4</v>
      </c>
    </row>
    <row r="24" spans="1:48" s="62" customFormat="1" ht="24.75" hidden="1" customHeight="1">
      <c r="A24" s="59"/>
      <c r="B24" s="60"/>
      <c r="C24" s="60"/>
      <c r="D24" s="22"/>
      <c r="E24" s="79" t="s">
        <v>24</v>
      </c>
      <c r="F24" s="51" t="s">
        <v>41</v>
      </c>
      <c r="G24" s="275" t="s">
        <v>166</v>
      </c>
      <c r="H24" s="115" t="s">
        <v>91</v>
      </c>
      <c r="I24" s="115" t="s">
        <v>91</v>
      </c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278" t="s">
        <v>196</v>
      </c>
      <c r="V24" s="115">
        <v>1379</v>
      </c>
      <c r="W24" s="114">
        <v>43046</v>
      </c>
      <c r="X24" s="115" t="s">
        <v>195</v>
      </c>
      <c r="Y24" s="221">
        <v>43059</v>
      </c>
      <c r="Z24" s="115"/>
      <c r="AA24" s="115"/>
      <c r="AB24" s="35">
        <v>180</v>
      </c>
      <c r="AC24" s="170">
        <v>25070.400000000001</v>
      </c>
      <c r="AD24" s="208"/>
      <c r="AE24" s="170"/>
      <c r="AF24" s="208"/>
      <c r="AG24" s="170"/>
      <c r="AH24" s="208"/>
      <c r="AI24" s="170"/>
      <c r="AJ24" s="233"/>
      <c r="AK24" s="170">
        <f t="shared" si="6"/>
        <v>0</v>
      </c>
      <c r="AL24" s="270">
        <f>60+60+30+30</f>
        <v>180</v>
      </c>
      <c r="AM24" s="170">
        <f>AL24*AR24</f>
        <v>25070.400000000001</v>
      </c>
      <c r="AN24" s="270">
        <v>0</v>
      </c>
      <c r="AO24" s="170">
        <f>AN24*AR24</f>
        <v>0</v>
      </c>
      <c r="AP24" s="233"/>
      <c r="AQ24" s="233"/>
      <c r="AR24" s="170">
        <v>139.28</v>
      </c>
      <c r="AS24" s="170">
        <f t="shared" si="3"/>
        <v>0</v>
      </c>
      <c r="AT24" s="233">
        <v>0</v>
      </c>
      <c r="AU24" s="386">
        <f t="shared" si="4"/>
        <v>0</v>
      </c>
      <c r="AV24" s="233">
        <f t="shared" si="5"/>
        <v>0</v>
      </c>
    </row>
    <row r="25" spans="1:48" s="62" customFormat="1" ht="24.75" hidden="1" customHeight="1">
      <c r="A25" s="59"/>
      <c r="B25" s="60"/>
      <c r="C25" s="60"/>
      <c r="D25" s="22"/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/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f>10-10</f>
        <v>0</v>
      </c>
      <c r="AU25" s="228">
        <f t="shared" si="4"/>
        <v>0</v>
      </c>
      <c r="AV25" s="279">
        <f t="shared" si="5"/>
        <v>0</v>
      </c>
    </row>
    <row r="26" spans="1:48" s="62" customFormat="1" ht="31.5" hidden="1">
      <c r="A26" s="59"/>
      <c r="B26" s="60"/>
      <c r="C26" s="60"/>
      <c r="D26" s="22"/>
      <c r="E26" s="79" t="s">
        <v>24</v>
      </c>
      <c r="F26" s="51" t="s">
        <v>53</v>
      </c>
      <c r="G26" s="275" t="s">
        <v>168</v>
      </c>
      <c r="H26" s="115" t="s">
        <v>91</v>
      </c>
      <c r="I26" s="115" t="s">
        <v>91</v>
      </c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268" t="s">
        <v>197</v>
      </c>
      <c r="V26" s="115">
        <v>1379</v>
      </c>
      <c r="W26" s="114">
        <v>43046</v>
      </c>
      <c r="X26" s="115" t="s">
        <v>195</v>
      </c>
      <c r="Y26" s="221">
        <v>43059</v>
      </c>
      <c r="Z26" s="115"/>
      <c r="AA26" s="115"/>
      <c r="AB26" s="35">
        <v>180</v>
      </c>
      <c r="AC26" s="170">
        <v>94469.4</v>
      </c>
      <c r="AD26" s="208"/>
      <c r="AE26" s="170"/>
      <c r="AF26" s="208"/>
      <c r="AG26" s="170"/>
      <c r="AH26" s="208"/>
      <c r="AI26" s="170"/>
      <c r="AJ26" s="233"/>
      <c r="AK26" s="170">
        <f t="shared" si="6"/>
        <v>0</v>
      </c>
      <c r="AL26" s="270">
        <f>60+60+30+30</f>
        <v>180</v>
      </c>
      <c r="AM26" s="170">
        <f>AL26*AR26</f>
        <v>94469.400000000009</v>
      </c>
      <c r="AN26" s="270">
        <v>0</v>
      </c>
      <c r="AO26" s="170">
        <f>AN26*AR26</f>
        <v>0</v>
      </c>
      <c r="AP26" s="233"/>
      <c r="AQ26" s="233"/>
      <c r="AR26" s="170">
        <v>524.83000000000004</v>
      </c>
      <c r="AS26" s="170">
        <f t="shared" si="3"/>
        <v>0</v>
      </c>
      <c r="AT26" s="233">
        <v>0</v>
      </c>
      <c r="AU26" s="386">
        <f t="shared" si="4"/>
        <v>0</v>
      </c>
      <c r="AV26" s="233">
        <f t="shared" si="5"/>
        <v>0</v>
      </c>
    </row>
    <row r="27" spans="1:48" s="62" customFormat="1" ht="31.5" hidden="1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/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f>9-9</f>
        <v>0</v>
      </c>
      <c r="AU27" s="228">
        <f t="shared" si="4"/>
        <v>0</v>
      </c>
      <c r="AV27" s="279">
        <f t="shared" si="5"/>
        <v>0</v>
      </c>
    </row>
    <row r="28" spans="1:48" s="103" customFormat="1" ht="26.25" hidden="1" customHeight="1">
      <c r="A28" s="59"/>
      <c r="B28" s="101"/>
      <c r="C28" s="101"/>
      <c r="D28" s="22"/>
      <c r="E28" s="104" t="s">
        <v>24</v>
      </c>
      <c r="F28" s="51" t="s">
        <v>240</v>
      </c>
      <c r="G28" s="275" t="s">
        <v>116</v>
      </c>
      <c r="H28" s="115" t="s">
        <v>91</v>
      </c>
      <c r="I28" s="115" t="s">
        <v>91</v>
      </c>
      <c r="J28" s="115"/>
      <c r="K28" s="115"/>
      <c r="L28" s="276"/>
      <c r="M28" s="277">
        <f t="shared" si="0"/>
        <v>0</v>
      </c>
      <c r="N28" s="276">
        <f t="shared" si="1"/>
        <v>0</v>
      </c>
      <c r="O28" s="115"/>
      <c r="P28" s="276"/>
      <c r="Q28" s="115"/>
      <c r="R28" s="276"/>
      <c r="S28" s="115"/>
      <c r="T28" s="276"/>
      <c r="U28" s="278"/>
      <c r="V28" s="115">
        <v>1476</v>
      </c>
      <c r="W28" s="114">
        <v>43066</v>
      </c>
      <c r="X28" s="115" t="s">
        <v>201</v>
      </c>
      <c r="Y28" s="221">
        <v>43068</v>
      </c>
      <c r="Z28" s="115" t="s">
        <v>210</v>
      </c>
      <c r="AA28" s="221">
        <v>43073</v>
      </c>
      <c r="AB28" s="35">
        <v>5</v>
      </c>
      <c r="AC28" s="170">
        <v>1010.9</v>
      </c>
      <c r="AD28" s="208"/>
      <c r="AE28" s="170"/>
      <c r="AF28" s="208"/>
      <c r="AG28" s="170"/>
      <c r="AH28" s="208"/>
      <c r="AI28" s="170"/>
      <c r="AJ28" s="233"/>
      <c r="AK28" s="170">
        <f t="shared" si="6"/>
        <v>0</v>
      </c>
      <c r="AL28" s="270">
        <v>5</v>
      </c>
      <c r="AM28" s="170">
        <v>1010.9</v>
      </c>
      <c r="AN28" s="270">
        <v>0</v>
      </c>
      <c r="AO28" s="170">
        <f>AN28*AR28</f>
        <v>0</v>
      </c>
      <c r="AP28" s="233"/>
      <c r="AQ28" s="233"/>
      <c r="AR28" s="170">
        <v>202.18</v>
      </c>
      <c r="AS28" s="170">
        <f t="shared" si="3"/>
        <v>0</v>
      </c>
      <c r="AT28" s="233">
        <v>0</v>
      </c>
      <c r="AU28" s="386">
        <f t="shared" si="4"/>
        <v>0</v>
      </c>
      <c r="AV28" s="233">
        <f t="shared" si="5"/>
        <v>0</v>
      </c>
    </row>
    <row r="29" spans="1:48" s="103" customFormat="1" ht="26.25" hidden="1" customHeight="1">
      <c r="A29" s="59"/>
      <c r="B29" s="101"/>
      <c r="C29" s="101"/>
      <c r="D29" s="22"/>
      <c r="E29" s="104" t="s">
        <v>24</v>
      </c>
      <c r="F29" s="51" t="s">
        <v>240</v>
      </c>
      <c r="G29" s="275" t="s">
        <v>116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/>
      <c r="V29" s="115" t="s">
        <v>59</v>
      </c>
      <c r="W29" s="114">
        <v>43061</v>
      </c>
      <c r="X29" s="115"/>
      <c r="Y29" s="115"/>
      <c r="Z29" s="115"/>
      <c r="AA29" s="115"/>
      <c r="AB29" s="35">
        <v>205</v>
      </c>
      <c r="AC29" s="170">
        <v>41446.9</v>
      </c>
      <c r="AD29" s="208"/>
      <c r="AE29" s="170"/>
      <c r="AF29" s="208"/>
      <c r="AG29" s="170"/>
      <c r="AH29" s="208"/>
      <c r="AI29" s="170"/>
      <c r="AJ29" s="233"/>
      <c r="AK29" s="170">
        <f t="shared" si="6"/>
        <v>0</v>
      </c>
      <c r="AL29" s="270">
        <v>205</v>
      </c>
      <c r="AM29" s="170">
        <f>AL29*AR29</f>
        <v>41446.9</v>
      </c>
      <c r="AN29" s="270">
        <v>0</v>
      </c>
      <c r="AO29" s="170">
        <f>AN29*AR29</f>
        <v>0</v>
      </c>
      <c r="AP29" s="233"/>
      <c r="AQ29" s="233"/>
      <c r="AR29" s="170">
        <v>202.18</v>
      </c>
      <c r="AS29" s="170">
        <f t="shared" si="3"/>
        <v>0</v>
      </c>
      <c r="AT29" s="233">
        <v>0</v>
      </c>
      <c r="AU29" s="386">
        <f t="shared" si="4"/>
        <v>0</v>
      </c>
      <c r="AV29" s="233">
        <f t="shared" si="5"/>
        <v>0</v>
      </c>
    </row>
    <row r="30" spans="1:48" s="103" customFormat="1" ht="26.25" hidden="1" customHeight="1">
      <c r="A30" s="283"/>
      <c r="B30" s="101"/>
      <c r="C30" s="101"/>
      <c r="D30" s="22"/>
      <c r="E30" s="104" t="s">
        <v>24</v>
      </c>
      <c r="F30" s="51" t="s">
        <v>238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/>
      <c r="AK30" s="170">
        <f t="shared" si="6"/>
        <v>0</v>
      </c>
      <c r="AL30" s="35">
        <f>30+14</f>
        <v>44</v>
      </c>
      <c r="AM30" s="170">
        <f>8955+4179</f>
        <v>13134</v>
      </c>
      <c r="AN30" s="35"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v>0</v>
      </c>
      <c r="AU30" s="170">
        <f t="shared" si="4"/>
        <v>0</v>
      </c>
      <c r="AV30" s="233">
        <f t="shared" si="5"/>
        <v>0</v>
      </c>
    </row>
    <row r="31" spans="1:48" s="103" customFormat="1" ht="26.25" hidden="1" customHeight="1">
      <c r="A31" s="283"/>
      <c r="B31" s="101"/>
      <c r="C31" s="101"/>
      <c r="D31" s="22"/>
      <c r="E31" s="104" t="s">
        <v>24</v>
      </c>
      <c r="F31" s="51" t="s">
        <v>238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/>
      <c r="AK31" s="170">
        <f t="shared" si="6"/>
        <v>0</v>
      </c>
      <c r="AL31" s="35">
        <f>6</f>
        <v>6</v>
      </c>
      <c r="AM31" s="170">
        <v>1791</v>
      </c>
      <c r="AN31" s="35">
        <v>0</v>
      </c>
      <c r="AO31" s="170">
        <f t="shared" si="2"/>
        <v>0</v>
      </c>
      <c r="AP31" s="208"/>
      <c r="AQ31" s="208"/>
      <c r="AR31" s="170">
        <f t="shared" ref="AR31:AR32" si="7">AM31/AL31</f>
        <v>298.5</v>
      </c>
      <c r="AS31" s="170">
        <f t="shared" si="3"/>
        <v>0</v>
      </c>
      <c r="AT31" s="208">
        <v>0</v>
      </c>
      <c r="AU31" s="170">
        <f t="shared" si="4"/>
        <v>0</v>
      </c>
      <c r="AV31" s="233">
        <f t="shared" si="5"/>
        <v>0</v>
      </c>
    </row>
    <row r="32" spans="1:48" s="103" customFormat="1" ht="26.25" hidden="1" customHeight="1">
      <c r="A32" s="283"/>
      <c r="B32" s="101"/>
      <c r="C32" s="101"/>
      <c r="D32" s="22"/>
      <c r="E32" s="104" t="s">
        <v>24</v>
      </c>
      <c r="F32" s="51" t="s">
        <v>238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/>
      <c r="AK32" s="170">
        <f t="shared" si="6"/>
        <v>0</v>
      </c>
      <c r="AL32" s="35">
        <f>25+11</f>
        <v>36</v>
      </c>
      <c r="AM32" s="170">
        <f>7462.5+3283.5</f>
        <v>10746</v>
      </c>
      <c r="AN32" s="35">
        <v>0</v>
      </c>
      <c r="AO32" s="170">
        <f t="shared" si="2"/>
        <v>0</v>
      </c>
      <c r="AP32" s="208"/>
      <c r="AQ32" s="208"/>
      <c r="AR32" s="170">
        <f t="shared" si="7"/>
        <v>298.5</v>
      </c>
      <c r="AS32" s="170">
        <f t="shared" si="3"/>
        <v>0</v>
      </c>
      <c r="AT32" s="208">
        <v>0</v>
      </c>
      <c r="AU32" s="170">
        <f t="shared" si="4"/>
        <v>0</v>
      </c>
      <c r="AV32" s="233">
        <f t="shared" si="5"/>
        <v>0</v>
      </c>
    </row>
    <row r="33" spans="1:48" s="62" customFormat="1" ht="26.25" hidden="1" customHeight="1">
      <c r="A33" s="59"/>
      <c r="B33" s="60"/>
      <c r="C33" s="60"/>
      <c r="D33" s="22"/>
      <c r="E33" s="79" t="s">
        <v>24</v>
      </c>
      <c r="F33" s="51" t="s">
        <v>247</v>
      </c>
      <c r="G33" s="275" t="s">
        <v>114</v>
      </c>
      <c r="H33" s="115" t="s">
        <v>91</v>
      </c>
      <c r="I33" s="115" t="s">
        <v>91</v>
      </c>
      <c r="J33" s="115"/>
      <c r="K33" s="115"/>
      <c r="L33" s="276"/>
      <c r="M33" s="277">
        <f t="shared" si="0"/>
        <v>0</v>
      </c>
      <c r="N33" s="276">
        <f t="shared" si="1"/>
        <v>0</v>
      </c>
      <c r="O33" s="115"/>
      <c r="P33" s="276"/>
      <c r="Q33" s="115"/>
      <c r="R33" s="276"/>
      <c r="S33" s="115"/>
      <c r="T33" s="276"/>
      <c r="U33" s="278"/>
      <c r="V33" s="115" t="s">
        <v>59</v>
      </c>
      <c r="W33" s="114">
        <v>43061</v>
      </c>
      <c r="X33" s="115" t="s">
        <v>199</v>
      </c>
      <c r="Y33" s="221">
        <v>43068</v>
      </c>
      <c r="Z33" s="115"/>
      <c r="AA33" s="115"/>
      <c r="AB33" s="35">
        <v>86</v>
      </c>
      <c r="AC33" s="170">
        <v>25671</v>
      </c>
      <c r="AD33" s="208"/>
      <c r="AE33" s="170"/>
      <c r="AF33" s="208"/>
      <c r="AG33" s="170"/>
      <c r="AH33" s="208"/>
      <c r="AI33" s="170"/>
      <c r="AJ33" s="233"/>
      <c r="AK33" s="170">
        <f t="shared" si="6"/>
        <v>0</v>
      </c>
      <c r="AL33" s="270">
        <v>34</v>
      </c>
      <c r="AM33" s="170">
        <f>10149</f>
        <v>10149</v>
      </c>
      <c r="AN33" s="270">
        <v>52</v>
      </c>
      <c r="AO33" s="170">
        <f t="shared" si="2"/>
        <v>15522</v>
      </c>
      <c r="AP33" s="233"/>
      <c r="AQ33" s="233"/>
      <c r="AR33" s="170">
        <v>298.5</v>
      </c>
      <c r="AS33" s="170">
        <f t="shared" si="3"/>
        <v>0</v>
      </c>
      <c r="AT33" s="233">
        <f>52-50-2</f>
        <v>0</v>
      </c>
      <c r="AU33" s="386">
        <f t="shared" si="4"/>
        <v>0</v>
      </c>
      <c r="AV33" s="233">
        <f t="shared" si="5"/>
        <v>0</v>
      </c>
    </row>
    <row r="34" spans="1:48" s="103" customFormat="1" ht="26.25" hidden="1" customHeight="1">
      <c r="A34" s="283"/>
      <c r="B34" s="101"/>
      <c r="C34" s="101"/>
      <c r="D34" s="22"/>
      <c r="E34" s="104" t="s">
        <v>24</v>
      </c>
      <c r="F34" s="51" t="s">
        <v>248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/>
      <c r="AK34" s="170">
        <f t="shared" si="6"/>
        <v>0</v>
      </c>
      <c r="AL34" s="35">
        <v>18</v>
      </c>
      <c r="AM34" s="170">
        <v>5398.2</v>
      </c>
      <c r="AN34" s="35"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v>0</v>
      </c>
      <c r="AU34" s="170">
        <f t="shared" si="4"/>
        <v>0</v>
      </c>
      <c r="AV34" s="233">
        <f t="shared" si="5"/>
        <v>0</v>
      </c>
    </row>
    <row r="35" spans="1:48" s="62" customFormat="1" ht="26.25" hidden="1" customHeight="1">
      <c r="A35" s="59"/>
      <c r="B35" s="60"/>
      <c r="C35" s="60"/>
      <c r="D35" s="22"/>
      <c r="E35" s="79" t="s">
        <v>24</v>
      </c>
      <c r="F35" s="51" t="s">
        <v>248</v>
      </c>
      <c r="G35" s="275" t="s">
        <v>140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157</v>
      </c>
      <c r="V35" s="115">
        <v>1476</v>
      </c>
      <c r="W35" s="114">
        <v>43066</v>
      </c>
      <c r="X35" s="115" t="s">
        <v>201</v>
      </c>
      <c r="Y35" s="221">
        <v>43068</v>
      </c>
      <c r="Z35" s="115" t="s">
        <v>210</v>
      </c>
      <c r="AA35" s="221">
        <v>43073</v>
      </c>
      <c r="AB35" s="35">
        <v>162</v>
      </c>
      <c r="AC35" s="170">
        <v>48583.8</v>
      </c>
      <c r="AD35" s="208"/>
      <c r="AE35" s="170"/>
      <c r="AF35" s="208"/>
      <c r="AG35" s="170"/>
      <c r="AH35" s="208"/>
      <c r="AI35" s="170"/>
      <c r="AJ35" s="233"/>
      <c r="AK35" s="170">
        <f t="shared" si="6"/>
        <v>0</v>
      </c>
      <c r="AL35" s="270">
        <f>20+60+60</f>
        <v>140</v>
      </c>
      <c r="AM35" s="170">
        <f>5998+17994</f>
        <v>23992</v>
      </c>
      <c r="AN35" s="270">
        <v>22</v>
      </c>
      <c r="AO35" s="170">
        <f t="shared" si="2"/>
        <v>24591.800000000003</v>
      </c>
      <c r="AP35" s="233"/>
      <c r="AQ35" s="233"/>
      <c r="AR35" s="170">
        <v>299.89999999999998</v>
      </c>
      <c r="AS35" s="170">
        <f t="shared" si="3"/>
        <v>0</v>
      </c>
      <c r="AT35" s="233">
        <v>0</v>
      </c>
      <c r="AU35" s="386">
        <f>AT35*AR35</f>
        <v>0</v>
      </c>
      <c r="AV35" s="233">
        <f t="shared" si="5"/>
        <v>0</v>
      </c>
    </row>
    <row r="36" spans="1:48" s="103" customFormat="1" ht="24" hidden="1" customHeight="1">
      <c r="A36" s="283"/>
      <c r="B36" s="101"/>
      <c r="C36" s="101"/>
      <c r="D36" s="22"/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/>
      <c r="AK36" s="170">
        <f t="shared" si="6"/>
        <v>0</v>
      </c>
      <c r="AL36" s="35">
        <v>40</v>
      </c>
      <c r="AM36" s="170">
        <v>21408.799999999999</v>
      </c>
      <c r="AN36" s="35"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v>0</v>
      </c>
      <c r="AU36" s="170">
        <f t="shared" si="4"/>
        <v>0</v>
      </c>
      <c r="AV36" s="233">
        <f t="shared" si="5"/>
        <v>0</v>
      </c>
    </row>
    <row r="37" spans="1:48" s="62" customFormat="1" ht="24" customHeight="1">
      <c r="A37" s="59"/>
      <c r="B37" s="60"/>
      <c r="C37" s="60"/>
      <c r="D37" s="22"/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/>
      <c r="AK37" s="170">
        <f t="shared" si="6"/>
        <v>0</v>
      </c>
      <c r="AL37" s="272">
        <f>55+20+30</f>
        <v>105</v>
      </c>
      <c r="AM37" s="212">
        <f>29437.1+10704.4+16056.6</f>
        <v>56198.1</v>
      </c>
      <c r="AN37" s="269"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27">
        <v>90</v>
      </c>
      <c r="AU37" s="228">
        <f t="shared" si="4"/>
        <v>48169.8</v>
      </c>
      <c r="AV37" s="279">
        <f t="shared" si="5"/>
        <v>90</v>
      </c>
    </row>
    <row r="38" spans="1:48" s="62" customFormat="1" ht="24" customHeight="1">
      <c r="A38" s="59"/>
      <c r="B38" s="60"/>
      <c r="C38" s="60"/>
      <c r="D38" s="22"/>
      <c r="E38" s="79"/>
      <c r="F38" s="162" t="s">
        <v>43</v>
      </c>
      <c r="G38" s="222" t="s">
        <v>163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3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8" s="62" customFormat="1" ht="24" customHeight="1">
      <c r="A39" s="59"/>
      <c r="B39" s="60"/>
      <c r="C39" s="60"/>
      <c r="D39" s="22"/>
      <c r="E39" s="79"/>
      <c r="F39" s="162" t="s">
        <v>43</v>
      </c>
      <c r="G39" s="222" t="s">
        <v>163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243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3"/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10</v>
      </c>
      <c r="AU39" s="228"/>
      <c r="AV39" s="279">
        <f t="shared" si="5"/>
        <v>10</v>
      </c>
    </row>
    <row r="40" spans="1:48" s="62" customFormat="1" ht="24" hidden="1" customHeight="1">
      <c r="A40" s="59"/>
      <c r="B40" s="60"/>
      <c r="C40" s="60"/>
      <c r="D40" s="22"/>
      <c r="E40" s="79" t="s">
        <v>24</v>
      </c>
      <c r="F40" s="51" t="s">
        <v>43</v>
      </c>
      <c r="G40" s="275" t="s">
        <v>163</v>
      </c>
      <c r="H40" s="115" t="s">
        <v>91</v>
      </c>
      <c r="I40" s="115" t="s">
        <v>91</v>
      </c>
      <c r="J40" s="115">
        <v>96</v>
      </c>
      <c r="K40" s="115">
        <v>2</v>
      </c>
      <c r="L40" s="276">
        <v>543.58000000000004</v>
      </c>
      <c r="M40" s="277">
        <f t="shared" si="0"/>
        <v>192</v>
      </c>
      <c r="N40" s="276">
        <f t="shared" si="1"/>
        <v>104367.36000000002</v>
      </c>
      <c r="O40" s="115">
        <v>250</v>
      </c>
      <c r="P40" s="276">
        <v>123662.5</v>
      </c>
      <c r="Q40" s="115">
        <v>231</v>
      </c>
      <c r="R40" s="276">
        <v>123617.34</v>
      </c>
      <c r="S40" s="115">
        <v>502</v>
      </c>
      <c r="T40" s="276">
        <v>272877.15999999997</v>
      </c>
      <c r="U40" s="278" t="s">
        <v>164</v>
      </c>
      <c r="V40" s="115">
        <v>834</v>
      </c>
      <c r="W40" s="114">
        <v>43222</v>
      </c>
      <c r="X40" s="115" t="s">
        <v>162</v>
      </c>
      <c r="Y40" s="221">
        <v>43242</v>
      </c>
      <c r="Z40" s="115"/>
      <c r="AA40" s="115"/>
      <c r="AB40" s="35">
        <v>0</v>
      </c>
      <c r="AC40" s="170">
        <v>0</v>
      </c>
      <c r="AD40" s="208">
        <v>15</v>
      </c>
      <c r="AE40" s="170">
        <v>8028.3</v>
      </c>
      <c r="AF40" s="208"/>
      <c r="AG40" s="170"/>
      <c r="AH40" s="208"/>
      <c r="AI40" s="170"/>
      <c r="AJ40" s="233"/>
      <c r="AK40" s="170">
        <f t="shared" si="6"/>
        <v>8028.3</v>
      </c>
      <c r="AL40" s="270">
        <v>0</v>
      </c>
      <c r="AM40" s="170">
        <v>0</v>
      </c>
      <c r="AN40" s="270">
        <v>15</v>
      </c>
      <c r="AO40" s="170">
        <f t="shared" si="2"/>
        <v>8028.3</v>
      </c>
      <c r="AP40" s="233"/>
      <c r="AQ40" s="233"/>
      <c r="AR40" s="170">
        <v>535.22</v>
      </c>
      <c r="AS40" s="170">
        <f t="shared" si="3"/>
        <v>0</v>
      </c>
      <c r="AT40" s="233">
        <f>15-15</f>
        <v>0</v>
      </c>
      <c r="AU40" s="386">
        <f t="shared" si="4"/>
        <v>0</v>
      </c>
      <c r="AV40" s="233">
        <f t="shared" si="5"/>
        <v>0</v>
      </c>
    </row>
    <row r="41" spans="1:48" s="62" customFormat="1" ht="24" hidden="1" customHeight="1">
      <c r="A41" s="59"/>
      <c r="B41" s="60"/>
      <c r="C41" s="60"/>
      <c r="D41" s="22"/>
      <c r="E41" s="79" t="s">
        <v>24</v>
      </c>
      <c r="F41" s="51" t="s">
        <v>48</v>
      </c>
      <c r="G41" s="275" t="s">
        <v>152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204</v>
      </c>
      <c r="V41" s="115">
        <v>1405</v>
      </c>
      <c r="W41" s="114">
        <v>43052</v>
      </c>
      <c r="X41" s="115"/>
      <c r="Y41" s="115"/>
      <c r="Z41" s="115"/>
      <c r="AA41" s="115"/>
      <c r="AB41" s="35">
        <v>120</v>
      </c>
      <c r="AC41" s="170">
        <v>58734</v>
      </c>
      <c r="AD41" s="208"/>
      <c r="AE41" s="170"/>
      <c r="AF41" s="208"/>
      <c r="AG41" s="170"/>
      <c r="AH41" s="208"/>
      <c r="AI41" s="170"/>
      <c r="AJ41" s="233"/>
      <c r="AK41" s="170">
        <f t="shared" si="6"/>
        <v>0</v>
      </c>
      <c r="AL41" s="270">
        <f>15+30+10+25+20+20</f>
        <v>120</v>
      </c>
      <c r="AM41" s="170">
        <f>7341.75+14683.5+4894.5+12236.25+9789</f>
        <v>48945</v>
      </c>
      <c r="AN41" s="270">
        <v>0</v>
      </c>
      <c r="AO41" s="170">
        <f t="shared" si="2"/>
        <v>9789</v>
      </c>
      <c r="AP41" s="233"/>
      <c r="AQ41" s="233"/>
      <c r="AR41" s="170">
        <v>489.45</v>
      </c>
      <c r="AS41" s="170">
        <f t="shared" si="3"/>
        <v>0</v>
      </c>
      <c r="AT41" s="233">
        <v>0</v>
      </c>
      <c r="AU41" s="386">
        <f t="shared" si="4"/>
        <v>0</v>
      </c>
      <c r="AV41" s="233">
        <f t="shared" si="5"/>
        <v>0</v>
      </c>
    </row>
    <row r="42" spans="1:48" s="62" customFormat="1" ht="24" hidden="1" customHeight="1">
      <c r="A42" s="59"/>
      <c r="B42" s="60"/>
      <c r="C42" s="60"/>
      <c r="D42" s="22"/>
      <c r="E42" s="79" t="s">
        <v>24</v>
      </c>
      <c r="F42" s="51" t="s">
        <v>48</v>
      </c>
      <c r="G42" s="275" t="s">
        <v>152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278"/>
      <c r="V42" s="115">
        <v>1476</v>
      </c>
      <c r="W42" s="114">
        <v>43066</v>
      </c>
      <c r="X42" s="115" t="s">
        <v>201</v>
      </c>
      <c r="Y42" s="221">
        <v>43068</v>
      </c>
      <c r="Z42" s="115" t="s">
        <v>210</v>
      </c>
      <c r="AA42" s="221">
        <v>43073</v>
      </c>
      <c r="AB42" s="35">
        <v>30</v>
      </c>
      <c r="AC42" s="170">
        <v>14683.5</v>
      </c>
      <c r="AD42" s="208"/>
      <c r="AE42" s="170"/>
      <c r="AF42" s="208"/>
      <c r="AG42" s="170"/>
      <c r="AH42" s="208"/>
      <c r="AI42" s="170"/>
      <c r="AJ42" s="233"/>
      <c r="AK42" s="170">
        <f t="shared" si="6"/>
        <v>0</v>
      </c>
      <c r="AL42" s="270">
        <v>30</v>
      </c>
      <c r="AM42" s="170">
        <v>14683.5</v>
      </c>
      <c r="AN42" s="270">
        <v>0</v>
      </c>
      <c r="AO42" s="170">
        <f t="shared" si="2"/>
        <v>0</v>
      </c>
      <c r="AP42" s="233"/>
      <c r="AQ42" s="233"/>
      <c r="AR42" s="170"/>
      <c r="AS42" s="170">
        <f t="shared" si="3"/>
        <v>0</v>
      </c>
      <c r="AT42" s="208">
        <v>0</v>
      </c>
      <c r="AU42" s="170">
        <f t="shared" si="4"/>
        <v>0</v>
      </c>
      <c r="AV42" s="233">
        <f t="shared" si="5"/>
        <v>0</v>
      </c>
    </row>
    <row r="43" spans="1:48" s="62" customFormat="1" ht="24" hidden="1" customHeight="1">
      <c r="A43" s="59"/>
      <c r="B43" s="60"/>
      <c r="C43" s="60"/>
      <c r="D43" s="22"/>
      <c r="E43" s="79" t="s">
        <v>24</v>
      </c>
      <c r="F43" s="51" t="s">
        <v>48</v>
      </c>
      <c r="G43" s="275" t="s">
        <v>152</v>
      </c>
      <c r="H43" s="115" t="s">
        <v>91</v>
      </c>
      <c r="I43" s="115" t="s">
        <v>91</v>
      </c>
      <c r="J43" s="115">
        <v>360</v>
      </c>
      <c r="K43" s="115">
        <v>2</v>
      </c>
      <c r="L43" s="276">
        <v>497.09</v>
      </c>
      <c r="M43" s="277">
        <f t="shared" si="0"/>
        <v>720</v>
      </c>
      <c r="N43" s="276">
        <f t="shared" si="1"/>
        <v>357904.8</v>
      </c>
      <c r="O43" s="115">
        <v>150</v>
      </c>
      <c r="P43" s="276">
        <v>67861.5</v>
      </c>
      <c r="Q43" s="115">
        <v>300</v>
      </c>
      <c r="R43" s="276">
        <v>146787</v>
      </c>
      <c r="S43" s="115">
        <v>490</v>
      </c>
      <c r="T43" s="276">
        <v>243574.1</v>
      </c>
      <c r="U43" s="278" t="s">
        <v>151</v>
      </c>
      <c r="V43" s="115">
        <v>546</v>
      </c>
      <c r="W43" s="114">
        <v>43182</v>
      </c>
      <c r="X43" s="115" t="s">
        <v>149</v>
      </c>
      <c r="Y43" s="221">
        <v>43201</v>
      </c>
      <c r="Z43" s="115" t="s">
        <v>147</v>
      </c>
      <c r="AA43" s="221">
        <v>43252</v>
      </c>
      <c r="AB43" s="35">
        <v>0</v>
      </c>
      <c r="AC43" s="170">
        <v>0</v>
      </c>
      <c r="AD43" s="208">
        <v>65</v>
      </c>
      <c r="AE43" s="170">
        <v>31814.25</v>
      </c>
      <c r="AF43" s="208"/>
      <c r="AG43" s="170"/>
      <c r="AH43" s="208"/>
      <c r="AI43" s="170"/>
      <c r="AJ43" s="233"/>
      <c r="AK43" s="170">
        <f t="shared" si="6"/>
        <v>31814.25</v>
      </c>
      <c r="AL43" s="270">
        <v>0</v>
      </c>
      <c r="AM43" s="170">
        <v>0</v>
      </c>
      <c r="AN43" s="270">
        <v>65</v>
      </c>
      <c r="AO43" s="170">
        <f t="shared" si="2"/>
        <v>31814.25</v>
      </c>
      <c r="AP43" s="233"/>
      <c r="AQ43" s="233"/>
      <c r="AR43" s="170">
        <v>489.45</v>
      </c>
      <c r="AS43" s="170">
        <f t="shared" si="3"/>
        <v>0</v>
      </c>
      <c r="AT43" s="233">
        <f>35-35</f>
        <v>0</v>
      </c>
      <c r="AU43" s="386">
        <f t="shared" si="4"/>
        <v>0</v>
      </c>
      <c r="AV43" s="233">
        <f t="shared" si="5"/>
        <v>0</v>
      </c>
    </row>
    <row r="44" spans="1:48" s="62" customFormat="1" ht="27" hidden="1" customHeight="1">
      <c r="A44" s="59"/>
      <c r="B44" s="60"/>
      <c r="C44" s="60"/>
      <c r="D44" s="22"/>
      <c r="E44" s="79" t="s">
        <v>24</v>
      </c>
      <c r="F44" s="51" t="s">
        <v>44</v>
      </c>
      <c r="G44" s="275" t="s">
        <v>116</v>
      </c>
      <c r="H44" s="115" t="s">
        <v>91</v>
      </c>
      <c r="I44" s="115" t="s">
        <v>91</v>
      </c>
      <c r="J44" s="115">
        <v>1750</v>
      </c>
      <c r="K44" s="115">
        <v>2</v>
      </c>
      <c r="L44" s="276">
        <v>199.06</v>
      </c>
      <c r="M44" s="277">
        <f t="shared" si="0"/>
        <v>3500</v>
      </c>
      <c r="N44" s="276">
        <f t="shared" si="1"/>
        <v>696710</v>
      </c>
      <c r="O44" s="115">
        <v>1000</v>
      </c>
      <c r="P44" s="276">
        <v>255340</v>
      </c>
      <c r="Q44" s="115"/>
      <c r="R44" s="276"/>
      <c r="S44" s="115">
        <v>368</v>
      </c>
      <c r="T44" s="276">
        <v>73254.080000000002</v>
      </c>
      <c r="U44" s="278" t="s">
        <v>119</v>
      </c>
      <c r="V44" s="115">
        <v>1583</v>
      </c>
      <c r="W44" s="114">
        <v>43082</v>
      </c>
      <c r="X44" s="115" t="s">
        <v>113</v>
      </c>
      <c r="Y44" s="221">
        <v>43109</v>
      </c>
      <c r="Z44" s="115" t="s">
        <v>110</v>
      </c>
      <c r="AA44" s="221">
        <v>43111</v>
      </c>
      <c r="AB44" s="22">
        <v>0</v>
      </c>
      <c r="AC44" s="170">
        <v>0</v>
      </c>
      <c r="AD44" s="208">
        <v>50</v>
      </c>
      <c r="AE44" s="170">
        <v>10109</v>
      </c>
      <c r="AF44" s="208"/>
      <c r="AG44" s="170"/>
      <c r="AH44" s="208"/>
      <c r="AI44" s="170"/>
      <c r="AJ44" s="233"/>
      <c r="AK44" s="170">
        <f t="shared" si="6"/>
        <v>10109</v>
      </c>
      <c r="AL44" s="270">
        <v>10</v>
      </c>
      <c r="AM44" s="170">
        <f>AL44*AR44</f>
        <v>2021.8000000000002</v>
      </c>
      <c r="AN44" s="270">
        <v>40</v>
      </c>
      <c r="AO44" s="170">
        <f t="shared" si="2"/>
        <v>8087.2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f t="shared" si="5"/>
        <v>0</v>
      </c>
    </row>
    <row r="45" spans="1:48" s="62" customFormat="1" ht="27" hidden="1" customHeight="1">
      <c r="A45" s="59"/>
      <c r="B45" s="60"/>
      <c r="C45" s="60"/>
      <c r="D45" s="22"/>
      <c r="E45" s="79" t="s">
        <v>24</v>
      </c>
      <c r="F45" s="51" t="s">
        <v>54</v>
      </c>
      <c r="G45" s="275" t="s">
        <v>116</v>
      </c>
      <c r="H45" s="115" t="s">
        <v>91</v>
      </c>
      <c r="I45" s="115" t="s">
        <v>91</v>
      </c>
      <c r="J45" s="115"/>
      <c r="K45" s="115"/>
      <c r="L45" s="276"/>
      <c r="M45" s="277">
        <f t="shared" si="0"/>
        <v>0</v>
      </c>
      <c r="N45" s="276">
        <f t="shared" si="1"/>
        <v>0</v>
      </c>
      <c r="O45" s="115"/>
      <c r="P45" s="276"/>
      <c r="Q45" s="115"/>
      <c r="R45" s="276"/>
      <c r="S45" s="115"/>
      <c r="T45" s="276"/>
      <c r="U45" s="278" t="s">
        <v>119</v>
      </c>
      <c r="V45" s="115">
        <v>1745</v>
      </c>
      <c r="W45" s="114">
        <v>43096</v>
      </c>
      <c r="X45" s="115" t="s">
        <v>117</v>
      </c>
      <c r="Y45" s="221">
        <v>43109</v>
      </c>
      <c r="Z45" s="115" t="s">
        <v>118</v>
      </c>
      <c r="AA45" s="221">
        <v>43133</v>
      </c>
      <c r="AB45" s="22">
        <v>0</v>
      </c>
      <c r="AC45" s="170">
        <v>0</v>
      </c>
      <c r="AD45" s="208">
        <v>45</v>
      </c>
      <c r="AE45" s="170">
        <v>9098.1</v>
      </c>
      <c r="AF45" s="208"/>
      <c r="AG45" s="170"/>
      <c r="AH45" s="208"/>
      <c r="AI45" s="170"/>
      <c r="AJ45" s="233"/>
      <c r="AK45" s="170">
        <f t="shared" si="6"/>
        <v>9098.1</v>
      </c>
      <c r="AL45" s="270">
        <v>0</v>
      </c>
      <c r="AM45" s="170">
        <v>0</v>
      </c>
      <c r="AN45" s="270">
        <v>45</v>
      </c>
      <c r="AO45" s="170">
        <f t="shared" si="2"/>
        <v>9098.1</v>
      </c>
      <c r="AP45" s="233"/>
      <c r="AQ45" s="233"/>
      <c r="AR45" s="170">
        <v>202.18</v>
      </c>
      <c r="AS45" s="170">
        <f t="shared" si="3"/>
        <v>0</v>
      </c>
      <c r="AT45" s="233">
        <v>0</v>
      </c>
      <c r="AU45" s="386">
        <f t="shared" si="4"/>
        <v>0</v>
      </c>
      <c r="AV45" s="233">
        <f t="shared" si="5"/>
        <v>0</v>
      </c>
    </row>
    <row r="46" spans="1:48" s="62" customFormat="1" ht="26.25" hidden="1" customHeight="1">
      <c r="A46" s="59"/>
      <c r="B46" s="60"/>
      <c r="C46" s="60"/>
      <c r="D46" s="22"/>
      <c r="E46" s="79" t="s">
        <v>24</v>
      </c>
      <c r="F46" s="51" t="s">
        <v>44</v>
      </c>
      <c r="G46" s="275" t="s">
        <v>116</v>
      </c>
      <c r="H46" s="115" t="s">
        <v>91</v>
      </c>
      <c r="I46" s="115" t="s">
        <v>91</v>
      </c>
      <c r="J46" s="115"/>
      <c r="K46" s="115"/>
      <c r="L46" s="276"/>
      <c r="M46" s="277">
        <f t="shared" si="0"/>
        <v>0</v>
      </c>
      <c r="N46" s="276">
        <f t="shared" si="1"/>
        <v>0</v>
      </c>
      <c r="O46" s="115"/>
      <c r="P46" s="276"/>
      <c r="Q46" s="115"/>
      <c r="R46" s="276"/>
      <c r="S46" s="115"/>
      <c r="T46" s="276"/>
      <c r="U46" s="278" t="s">
        <v>134</v>
      </c>
      <c r="V46" s="115">
        <v>426</v>
      </c>
      <c r="W46" s="114">
        <v>43164</v>
      </c>
      <c r="X46" s="115" t="s">
        <v>141</v>
      </c>
      <c r="Y46" s="221">
        <v>43164</v>
      </c>
      <c r="Z46" s="115" t="s">
        <v>142</v>
      </c>
      <c r="AA46" s="221">
        <v>43230</v>
      </c>
      <c r="AB46" s="22">
        <v>0</v>
      </c>
      <c r="AC46" s="170">
        <v>0</v>
      </c>
      <c r="AD46" s="208">
        <v>50</v>
      </c>
      <c r="AE46" s="170">
        <v>10109</v>
      </c>
      <c r="AF46" s="208"/>
      <c r="AG46" s="170"/>
      <c r="AH46" s="208"/>
      <c r="AI46" s="170"/>
      <c r="AJ46" s="233"/>
      <c r="AK46" s="170">
        <f t="shared" si="6"/>
        <v>10109</v>
      </c>
      <c r="AL46" s="270">
        <v>0</v>
      </c>
      <c r="AM46" s="170">
        <v>0</v>
      </c>
      <c r="AN46" s="270">
        <v>50</v>
      </c>
      <c r="AO46" s="170">
        <f t="shared" si="2"/>
        <v>10109</v>
      </c>
      <c r="AP46" s="233"/>
      <c r="AQ46" s="233"/>
      <c r="AR46" s="170">
        <v>202.18</v>
      </c>
      <c r="AS46" s="170">
        <f t="shared" si="3"/>
        <v>0</v>
      </c>
      <c r="AT46" s="233">
        <v>0</v>
      </c>
      <c r="AU46" s="386">
        <f t="shared" si="4"/>
        <v>0</v>
      </c>
      <c r="AV46" s="233">
        <f t="shared" si="5"/>
        <v>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134</v>
      </c>
      <c r="V47" s="115">
        <v>260</v>
      </c>
      <c r="W47" s="114">
        <v>43145</v>
      </c>
      <c r="X47" s="115" t="s">
        <v>94</v>
      </c>
      <c r="Y47" s="221">
        <v>43164</v>
      </c>
      <c r="Z47" s="115"/>
      <c r="AA47" s="115"/>
      <c r="AB47" s="22">
        <v>0</v>
      </c>
      <c r="AC47" s="170">
        <v>0</v>
      </c>
      <c r="AD47" s="208">
        <v>110</v>
      </c>
      <c r="AE47" s="170">
        <v>22239.8</v>
      </c>
      <c r="AF47" s="208"/>
      <c r="AG47" s="170"/>
      <c r="AH47" s="208"/>
      <c r="AI47" s="170"/>
      <c r="AJ47" s="233"/>
      <c r="AK47" s="170">
        <f t="shared" si="6"/>
        <v>22239.8</v>
      </c>
      <c r="AL47" s="270">
        <v>0</v>
      </c>
      <c r="AM47" s="170">
        <v>0</v>
      </c>
      <c r="AN47" s="270">
        <v>110</v>
      </c>
      <c r="AO47" s="170">
        <f t="shared" si="2"/>
        <v>22239.8</v>
      </c>
      <c r="AP47" s="233"/>
      <c r="AQ47" s="233"/>
      <c r="AR47" s="170">
        <v>202.18</v>
      </c>
      <c r="AS47" s="170">
        <f t="shared" si="3"/>
        <v>0</v>
      </c>
      <c r="AT47" s="233">
        <f>25-25</f>
        <v>0</v>
      </c>
      <c r="AU47" s="386">
        <f t="shared" si="4"/>
        <v>0</v>
      </c>
      <c r="AV47" s="233">
        <f t="shared" si="5"/>
        <v>0</v>
      </c>
    </row>
    <row r="48" spans="1:48" s="62" customFormat="1" ht="26.25" hidden="1" customHeight="1">
      <c r="A48" s="59"/>
      <c r="B48" s="60"/>
      <c r="C48" s="60"/>
      <c r="D48" s="22"/>
      <c r="E48" s="79" t="s">
        <v>24</v>
      </c>
      <c r="F48" s="51" t="s">
        <v>44</v>
      </c>
      <c r="G48" s="275" t="s">
        <v>116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150</v>
      </c>
      <c r="V48" s="115">
        <v>546</v>
      </c>
      <c r="W48" s="114">
        <v>43182</v>
      </c>
      <c r="X48" s="115" t="s">
        <v>149</v>
      </c>
      <c r="Y48" s="221">
        <v>43201</v>
      </c>
      <c r="Z48" s="115" t="s">
        <v>147</v>
      </c>
      <c r="AA48" s="221">
        <v>43252</v>
      </c>
      <c r="AB48" s="22">
        <v>0</v>
      </c>
      <c r="AC48" s="170">
        <v>0</v>
      </c>
      <c r="AD48" s="208">
        <v>105</v>
      </c>
      <c r="AE48" s="170">
        <v>21228.9</v>
      </c>
      <c r="AF48" s="208"/>
      <c r="AG48" s="170"/>
      <c r="AH48" s="208"/>
      <c r="AI48" s="170"/>
      <c r="AJ48" s="233"/>
      <c r="AK48" s="170">
        <f t="shared" si="6"/>
        <v>21228.9</v>
      </c>
      <c r="AL48" s="270">
        <v>0</v>
      </c>
      <c r="AM48" s="170">
        <v>0</v>
      </c>
      <c r="AN48" s="270">
        <v>105</v>
      </c>
      <c r="AO48" s="170">
        <f t="shared" si="2"/>
        <v>21228.9</v>
      </c>
      <c r="AP48" s="233"/>
      <c r="AQ48" s="233"/>
      <c r="AR48" s="170">
        <v>202.18</v>
      </c>
      <c r="AS48" s="170">
        <f t="shared" si="3"/>
        <v>0</v>
      </c>
      <c r="AT48" s="233">
        <f>105-105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150</v>
      </c>
      <c r="V49" s="115">
        <v>659</v>
      </c>
      <c r="W49" s="114">
        <v>43201</v>
      </c>
      <c r="X49" s="115" t="s">
        <v>159</v>
      </c>
      <c r="Y49" s="221">
        <v>43213</v>
      </c>
      <c r="Z49" s="115" t="s">
        <v>160</v>
      </c>
      <c r="AA49" s="221">
        <v>43255</v>
      </c>
      <c r="AB49" s="22">
        <v>0</v>
      </c>
      <c r="AC49" s="170">
        <v>0</v>
      </c>
      <c r="AD49" s="208">
        <v>80</v>
      </c>
      <c r="AE49" s="170">
        <v>16174.4</v>
      </c>
      <c r="AF49" s="208"/>
      <c r="AG49" s="170"/>
      <c r="AH49" s="208"/>
      <c r="AI49" s="170"/>
      <c r="AJ49" s="233"/>
      <c r="AK49" s="170">
        <f t="shared" si="6"/>
        <v>16174.4</v>
      </c>
      <c r="AL49" s="270">
        <v>0</v>
      </c>
      <c r="AM49" s="170">
        <v>0</v>
      </c>
      <c r="AN49" s="270">
        <v>80</v>
      </c>
      <c r="AO49" s="170">
        <f t="shared" si="2"/>
        <v>16174.4</v>
      </c>
      <c r="AP49" s="233"/>
      <c r="AQ49" s="233"/>
      <c r="AR49" s="170">
        <v>202.18</v>
      </c>
      <c r="AS49" s="170">
        <f t="shared" si="3"/>
        <v>0</v>
      </c>
      <c r="AT49" s="233">
        <f>80-80</f>
        <v>0</v>
      </c>
      <c r="AU49" s="386">
        <f t="shared" si="4"/>
        <v>0</v>
      </c>
      <c r="AV49" s="233">
        <f t="shared" si="5"/>
        <v>0</v>
      </c>
    </row>
    <row r="50" spans="1:48" s="62" customFormat="1" ht="26.25" hidden="1" customHeight="1">
      <c r="A50" s="59"/>
      <c r="B50" s="60"/>
      <c r="C50" s="60"/>
      <c r="D50" s="22"/>
      <c r="E50" s="79" t="s">
        <v>24</v>
      </c>
      <c r="F50" s="51" t="s">
        <v>44</v>
      </c>
      <c r="G50" s="275" t="s">
        <v>116</v>
      </c>
      <c r="H50" s="115" t="s">
        <v>91</v>
      </c>
      <c r="I50" s="115" t="s">
        <v>91</v>
      </c>
      <c r="J50" s="115"/>
      <c r="K50" s="115"/>
      <c r="L50" s="276"/>
      <c r="M50" s="277">
        <f t="shared" si="0"/>
        <v>0</v>
      </c>
      <c r="N50" s="276">
        <f t="shared" si="1"/>
        <v>0</v>
      </c>
      <c r="O50" s="115"/>
      <c r="P50" s="276"/>
      <c r="Q50" s="115"/>
      <c r="R50" s="276"/>
      <c r="S50" s="115"/>
      <c r="T50" s="276"/>
      <c r="U50" s="278" t="s">
        <v>169</v>
      </c>
      <c r="V50" s="115">
        <v>834</v>
      </c>
      <c r="W50" s="114">
        <v>43222</v>
      </c>
      <c r="X50" s="115" t="s">
        <v>162</v>
      </c>
      <c r="Y50" s="221">
        <v>43242</v>
      </c>
      <c r="Z50" s="115"/>
      <c r="AA50" s="115"/>
      <c r="AB50" s="35">
        <v>0</v>
      </c>
      <c r="AC50" s="170">
        <v>0</v>
      </c>
      <c r="AD50" s="208">
        <v>95</v>
      </c>
      <c r="AE50" s="170">
        <v>19207.099999999999</v>
      </c>
      <c r="AF50" s="208"/>
      <c r="AG50" s="170"/>
      <c r="AH50" s="208"/>
      <c r="AI50" s="170"/>
      <c r="AJ50" s="233"/>
      <c r="AK50" s="170">
        <f t="shared" si="6"/>
        <v>19207.099999999999</v>
      </c>
      <c r="AL50" s="270">
        <v>0</v>
      </c>
      <c r="AM50" s="170">
        <v>0</v>
      </c>
      <c r="AN50" s="270">
        <v>95</v>
      </c>
      <c r="AO50" s="170">
        <f t="shared" si="2"/>
        <v>19207.099999999999</v>
      </c>
      <c r="AP50" s="233"/>
      <c r="AQ50" s="233"/>
      <c r="AR50" s="170">
        <v>202.18</v>
      </c>
      <c r="AS50" s="170">
        <f>AQ50*AR50</f>
        <v>0</v>
      </c>
      <c r="AT50" s="233">
        <f>95-45-50</f>
        <v>0</v>
      </c>
      <c r="AU50" s="386">
        <f t="shared" si="4"/>
        <v>0</v>
      </c>
      <c r="AV50" s="233">
        <f t="shared" si="5"/>
        <v>0</v>
      </c>
    </row>
    <row r="51" spans="1:48" s="62" customFormat="1" ht="26.25" hidden="1" customHeight="1">
      <c r="A51" s="59"/>
      <c r="B51" s="60"/>
      <c r="C51" s="60"/>
      <c r="D51" s="22"/>
      <c r="E51" s="79" t="s">
        <v>24</v>
      </c>
      <c r="F51" s="51" t="s">
        <v>44</v>
      </c>
      <c r="G51" s="275" t="s">
        <v>116</v>
      </c>
      <c r="H51" s="115" t="s">
        <v>91</v>
      </c>
      <c r="I51" s="115" t="s">
        <v>91</v>
      </c>
      <c r="J51" s="115"/>
      <c r="K51" s="115"/>
      <c r="L51" s="276"/>
      <c r="M51" s="277">
        <f t="shared" si="0"/>
        <v>0</v>
      </c>
      <c r="N51" s="276">
        <f t="shared" si="1"/>
        <v>0</v>
      </c>
      <c r="O51" s="115"/>
      <c r="P51" s="276"/>
      <c r="Q51" s="115"/>
      <c r="R51" s="276"/>
      <c r="S51" s="115"/>
      <c r="T51" s="276"/>
      <c r="U51" s="278" t="s">
        <v>180</v>
      </c>
      <c r="V51" s="115">
        <v>1006</v>
      </c>
      <c r="W51" s="114">
        <v>43244</v>
      </c>
      <c r="X51" s="115" t="s">
        <v>179</v>
      </c>
      <c r="Y51" s="221">
        <v>43285</v>
      </c>
      <c r="Z51" s="115"/>
      <c r="AA51" s="115"/>
      <c r="AB51" s="35">
        <v>0</v>
      </c>
      <c r="AC51" s="170">
        <v>0</v>
      </c>
      <c r="AD51" s="208">
        <v>20</v>
      </c>
      <c r="AE51" s="170">
        <v>3920</v>
      </c>
      <c r="AF51" s="208"/>
      <c r="AG51" s="170"/>
      <c r="AH51" s="208"/>
      <c r="AI51" s="170"/>
      <c r="AJ51" s="233"/>
      <c r="AK51" s="170">
        <f t="shared" si="6"/>
        <v>3920</v>
      </c>
      <c r="AL51" s="270">
        <v>0</v>
      </c>
      <c r="AM51" s="170">
        <v>0</v>
      </c>
      <c r="AN51" s="270">
        <v>20</v>
      </c>
      <c r="AO51" s="170">
        <f t="shared" si="2"/>
        <v>3920</v>
      </c>
      <c r="AP51" s="233"/>
      <c r="AQ51" s="233"/>
      <c r="AR51" s="170">
        <v>196</v>
      </c>
      <c r="AS51" s="170">
        <f t="shared" si="3"/>
        <v>0</v>
      </c>
      <c r="AT51" s="233">
        <f>20-20</f>
        <v>0</v>
      </c>
      <c r="AU51" s="386">
        <f t="shared" si="4"/>
        <v>0</v>
      </c>
      <c r="AV51" s="233">
        <f t="shared" si="5"/>
        <v>0</v>
      </c>
    </row>
    <row r="52" spans="1:48" s="62" customFormat="1" ht="26.25" hidden="1" customHeight="1">
      <c r="A52" s="59"/>
      <c r="B52" s="60"/>
      <c r="C52" s="60"/>
      <c r="D52" s="22"/>
      <c r="E52" s="79" t="s">
        <v>24</v>
      </c>
      <c r="F52" s="149" t="s">
        <v>44</v>
      </c>
      <c r="G52" s="222" t="s">
        <v>116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176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35">
        <v>0</v>
      </c>
      <c r="AC52" s="170">
        <v>0</v>
      </c>
      <c r="AD52" s="209">
        <v>225</v>
      </c>
      <c r="AE52" s="194">
        <v>45490.5</v>
      </c>
      <c r="AF52" s="209"/>
      <c r="AG52" s="194"/>
      <c r="AH52" s="209"/>
      <c r="AI52" s="194"/>
      <c r="AJ52" s="233"/>
      <c r="AK52" s="170">
        <f t="shared" si="6"/>
        <v>45490.5</v>
      </c>
      <c r="AL52" s="272">
        <v>0</v>
      </c>
      <c r="AM52" s="212">
        <v>0</v>
      </c>
      <c r="AN52" s="269">
        <v>225</v>
      </c>
      <c r="AO52" s="217">
        <f t="shared" si="2"/>
        <v>45490.5</v>
      </c>
      <c r="AP52" s="232"/>
      <c r="AQ52" s="229"/>
      <c r="AR52" s="212">
        <v>202.18</v>
      </c>
      <c r="AS52" s="212">
        <f t="shared" si="3"/>
        <v>0</v>
      </c>
      <c r="AT52" s="227">
        <f>225-130-95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149" t="s">
        <v>44</v>
      </c>
      <c r="G53" s="222" t="s">
        <v>116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186</v>
      </c>
      <c r="V53" s="115">
        <v>1418</v>
      </c>
      <c r="W53" s="114">
        <v>43312</v>
      </c>
      <c r="X53" s="193" t="s">
        <v>184</v>
      </c>
      <c r="Y53" s="200">
        <v>43332</v>
      </c>
      <c r="Z53" s="193" t="s">
        <v>185</v>
      </c>
      <c r="AA53" s="200">
        <v>43320</v>
      </c>
      <c r="AB53" s="22">
        <v>0</v>
      </c>
      <c r="AC53" s="170">
        <v>0</v>
      </c>
      <c r="AD53" s="209">
        <v>55</v>
      </c>
      <c r="AE53" s="194">
        <v>10780</v>
      </c>
      <c r="AF53" s="209"/>
      <c r="AG53" s="194"/>
      <c r="AH53" s="209"/>
      <c r="AI53" s="194"/>
      <c r="AJ53" s="233"/>
      <c r="AK53" s="170">
        <f t="shared" si="6"/>
        <v>10780</v>
      </c>
      <c r="AL53" s="272">
        <v>0</v>
      </c>
      <c r="AM53" s="212">
        <v>0</v>
      </c>
      <c r="AN53" s="269">
        <v>55</v>
      </c>
      <c r="AO53" s="217">
        <v>0</v>
      </c>
      <c r="AP53" s="232"/>
      <c r="AQ53" s="229"/>
      <c r="AR53" s="212">
        <v>196</v>
      </c>
      <c r="AS53" s="212">
        <f t="shared" si="3"/>
        <v>0</v>
      </c>
      <c r="AT53" s="227">
        <f>55-15</f>
        <v>40</v>
      </c>
      <c r="AU53" s="228">
        <f t="shared" si="4"/>
        <v>7840</v>
      </c>
      <c r="AV53" s="279">
        <f t="shared" si="5"/>
        <v>40</v>
      </c>
    </row>
    <row r="54" spans="1:48" s="62" customFormat="1" ht="26.25" customHeight="1">
      <c r="A54" s="59"/>
      <c r="B54" s="60"/>
      <c r="C54" s="60"/>
      <c r="D54" s="22"/>
      <c r="E54" s="79"/>
      <c r="F54" s="149" t="s">
        <v>44</v>
      </c>
      <c r="G54" s="222" t="s">
        <v>116</v>
      </c>
      <c r="H54" s="193"/>
      <c r="I54" s="193"/>
      <c r="J54" s="193"/>
      <c r="K54" s="193"/>
      <c r="L54" s="243"/>
      <c r="M54" s="242"/>
      <c r="N54" s="243"/>
      <c r="O54" s="193"/>
      <c r="P54" s="243"/>
      <c r="Q54" s="193"/>
      <c r="R54" s="243"/>
      <c r="S54" s="193"/>
      <c r="T54" s="243"/>
      <c r="U54" s="203"/>
      <c r="V54" s="115"/>
      <c r="W54" s="114"/>
      <c r="X54" s="193"/>
      <c r="Y54" s="200"/>
      <c r="Z54" s="193"/>
      <c r="AA54" s="200"/>
      <c r="AB54" s="22"/>
      <c r="AC54" s="170"/>
      <c r="AD54" s="209"/>
      <c r="AE54" s="194"/>
      <c r="AF54" s="209"/>
      <c r="AG54" s="194"/>
      <c r="AH54" s="209"/>
      <c r="AI54" s="194"/>
      <c r="AJ54" s="233"/>
      <c r="AK54" s="170"/>
      <c r="AL54" s="272"/>
      <c r="AM54" s="212"/>
      <c r="AN54" s="269"/>
      <c r="AO54" s="217"/>
      <c r="AP54" s="232"/>
      <c r="AQ54" s="229"/>
      <c r="AR54" s="212"/>
      <c r="AS54" s="212"/>
      <c r="AT54" s="227">
        <v>15</v>
      </c>
      <c r="AU54" s="228"/>
      <c r="AV54" s="279">
        <v>15</v>
      </c>
    </row>
    <row r="55" spans="1:48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3"/>
      <c r="AK55" s="170">
        <f t="shared" si="6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08">
        <v>0</v>
      </c>
      <c r="AU55" s="170">
        <f t="shared" si="4"/>
        <v>0</v>
      </c>
      <c r="AV55" s="233">
        <f t="shared" si="5"/>
        <v>0</v>
      </c>
    </row>
    <row r="56" spans="1:48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3"/>
      <c r="AK56" s="170">
        <f t="shared" si="6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f t="shared" si="5"/>
        <v>0</v>
      </c>
    </row>
    <row r="57" spans="1:48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3"/>
      <c r="AK57" s="170">
        <f t="shared" si="6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33">
        <f>160-140-20</f>
        <v>0</v>
      </c>
      <c r="AU57" s="386">
        <f t="shared" si="4"/>
        <v>0</v>
      </c>
      <c r="AV57" s="233">
        <f t="shared" si="5"/>
        <v>0</v>
      </c>
    </row>
    <row r="58" spans="1:48" s="62" customFormat="1" ht="26.25" customHeight="1">
      <c r="A58" s="59"/>
      <c r="B58" s="60"/>
      <c r="C58" s="60"/>
      <c r="D58" s="22"/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426</v>
      </c>
      <c r="W58" s="114">
        <v>43164</v>
      </c>
      <c r="X58" s="193" t="s">
        <v>141</v>
      </c>
      <c r="Y58" s="200">
        <v>43164</v>
      </c>
      <c r="Z58" s="193" t="s">
        <v>142</v>
      </c>
      <c r="AA58" s="200">
        <v>43230</v>
      </c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/>
      <c r="AK58" s="170">
        <f t="shared" si="6"/>
        <v>34370.6</v>
      </c>
      <c r="AL58" s="272">
        <v>0</v>
      </c>
      <c r="AM58" s="212">
        <v>0</v>
      </c>
      <c r="AN58" s="269">
        <v>170</v>
      </c>
      <c r="AO58" s="217">
        <f t="shared" si="2"/>
        <v>34370.6</v>
      </c>
      <c r="AP58" s="232"/>
      <c r="AQ58" s="229"/>
      <c r="AR58" s="212">
        <v>202.18</v>
      </c>
      <c r="AS58" s="212">
        <f t="shared" si="3"/>
        <v>0</v>
      </c>
      <c r="AT58" s="227">
        <v>60</v>
      </c>
      <c r="AU58" s="228">
        <f t="shared" si="4"/>
        <v>12130.800000000001</v>
      </c>
      <c r="AV58" s="279">
        <f t="shared" si="5"/>
        <v>60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234</v>
      </c>
      <c r="W59" s="114">
        <v>43143</v>
      </c>
      <c r="X59" s="193" t="s">
        <v>143</v>
      </c>
      <c r="Y59" s="200">
        <v>43164</v>
      </c>
      <c r="Z59" s="193"/>
      <c r="AA59" s="193"/>
      <c r="AB59" s="22">
        <v>0</v>
      </c>
      <c r="AC59" s="170">
        <v>0</v>
      </c>
      <c r="AD59" s="209">
        <v>320</v>
      </c>
      <c r="AE59" s="194">
        <v>64697.599999999999</v>
      </c>
      <c r="AF59" s="209"/>
      <c r="AG59" s="194"/>
      <c r="AH59" s="209"/>
      <c r="AI59" s="194"/>
      <c r="AJ59" s="233"/>
      <c r="AK59" s="170">
        <f t="shared" si="6"/>
        <v>64697.599999999999</v>
      </c>
      <c r="AL59" s="272">
        <v>0</v>
      </c>
      <c r="AM59" s="212">
        <v>0</v>
      </c>
      <c r="AN59" s="269">
        <v>320</v>
      </c>
      <c r="AO59" s="217">
        <f t="shared" si="2"/>
        <v>64697.599999999999</v>
      </c>
      <c r="AP59" s="232"/>
      <c r="AQ59" s="229"/>
      <c r="AR59" s="212">
        <v>202.18</v>
      </c>
      <c r="AS59" s="212">
        <f t="shared" si="3"/>
        <v>0</v>
      </c>
      <c r="AT59" s="227">
        <v>320</v>
      </c>
      <c r="AU59" s="228">
        <f t="shared" si="4"/>
        <v>64697.600000000006</v>
      </c>
      <c r="AV59" s="279">
        <f t="shared" si="5"/>
        <v>320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132</v>
      </c>
      <c r="V60" s="115">
        <v>234</v>
      </c>
      <c r="W60" s="114">
        <v>43143</v>
      </c>
      <c r="X60" s="193" t="s">
        <v>143</v>
      </c>
      <c r="Y60" s="200">
        <v>43164</v>
      </c>
      <c r="Z60" s="193"/>
      <c r="AA60" s="193"/>
      <c r="AB60" s="22">
        <v>0</v>
      </c>
      <c r="AC60" s="170">
        <v>0</v>
      </c>
      <c r="AD60" s="209">
        <v>15</v>
      </c>
      <c r="AE60" s="194">
        <v>3032.7</v>
      </c>
      <c r="AF60" s="209"/>
      <c r="AG60" s="194"/>
      <c r="AH60" s="209"/>
      <c r="AI60" s="194"/>
      <c r="AJ60" s="233"/>
      <c r="AK60" s="170">
        <f t="shared" si="6"/>
        <v>3032.7</v>
      </c>
      <c r="AL60" s="272">
        <v>0</v>
      </c>
      <c r="AM60" s="212">
        <v>0</v>
      </c>
      <c r="AN60" s="269">
        <v>15</v>
      </c>
      <c r="AO60" s="217">
        <f t="shared" si="2"/>
        <v>3032.7</v>
      </c>
      <c r="AP60" s="232"/>
      <c r="AQ60" s="229"/>
      <c r="AR60" s="212">
        <v>202.18</v>
      </c>
      <c r="AS60" s="212">
        <f t="shared" si="3"/>
        <v>0</v>
      </c>
      <c r="AT60" s="227">
        <v>15</v>
      </c>
      <c r="AU60" s="228">
        <f t="shared" si="4"/>
        <v>3032.7000000000003</v>
      </c>
      <c r="AV60" s="279">
        <f t="shared" si="5"/>
        <v>15</v>
      </c>
    </row>
    <row r="61" spans="1:48" s="62" customFormat="1" ht="27" customHeight="1">
      <c r="A61" s="59"/>
      <c r="B61" s="60"/>
      <c r="C61" s="60"/>
      <c r="D61" s="22"/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133</v>
      </c>
      <c r="V61" s="115">
        <v>356</v>
      </c>
      <c r="W61" s="114">
        <v>43159</v>
      </c>
      <c r="X61" s="193" t="s">
        <v>136</v>
      </c>
      <c r="Y61" s="200">
        <v>43164</v>
      </c>
      <c r="Z61" s="193"/>
      <c r="AA61" s="193"/>
      <c r="AB61" s="22">
        <v>0</v>
      </c>
      <c r="AC61" s="170">
        <v>0</v>
      </c>
      <c r="AD61" s="209">
        <v>170</v>
      </c>
      <c r="AE61" s="194">
        <v>34370.6</v>
      </c>
      <c r="AF61" s="209"/>
      <c r="AG61" s="194"/>
      <c r="AH61" s="209"/>
      <c r="AI61" s="194"/>
      <c r="AJ61" s="233"/>
      <c r="AK61" s="170">
        <f t="shared" si="6"/>
        <v>34370.6</v>
      </c>
      <c r="AL61" s="272">
        <v>0</v>
      </c>
      <c r="AM61" s="212">
        <v>0</v>
      </c>
      <c r="AN61" s="269">
        <v>170</v>
      </c>
      <c r="AO61" s="217">
        <f t="shared" si="2"/>
        <v>34370.6</v>
      </c>
      <c r="AP61" s="232"/>
      <c r="AQ61" s="229"/>
      <c r="AR61" s="212">
        <v>202.18</v>
      </c>
      <c r="AS61" s="212">
        <f t="shared" si="3"/>
        <v>0</v>
      </c>
      <c r="AT61" s="227">
        <v>170</v>
      </c>
      <c r="AU61" s="228">
        <f t="shared" si="4"/>
        <v>34370.6</v>
      </c>
      <c r="AV61" s="279">
        <f t="shared" si="5"/>
        <v>170</v>
      </c>
    </row>
    <row r="62" spans="1:48" s="62" customFormat="1" ht="27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133</v>
      </c>
      <c r="V62" s="115">
        <v>260</v>
      </c>
      <c r="W62" s="114">
        <v>43145</v>
      </c>
      <c r="X62" s="193" t="s">
        <v>94</v>
      </c>
      <c r="Y62" s="200">
        <v>43164</v>
      </c>
      <c r="Z62" s="193"/>
      <c r="AA62" s="193"/>
      <c r="AB62" s="22">
        <v>0</v>
      </c>
      <c r="AC62" s="170">
        <v>0</v>
      </c>
      <c r="AD62" s="209">
        <v>665</v>
      </c>
      <c r="AE62" s="194">
        <v>134449.70000000001</v>
      </c>
      <c r="AF62" s="209"/>
      <c r="AG62" s="194"/>
      <c r="AH62" s="209"/>
      <c r="AI62" s="194"/>
      <c r="AJ62" s="233"/>
      <c r="AK62" s="170">
        <f t="shared" si="6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27">
        <v>665</v>
      </c>
      <c r="AU62" s="228">
        <f t="shared" si="4"/>
        <v>134449.70000000001</v>
      </c>
      <c r="AV62" s="279">
        <f t="shared" si="5"/>
        <v>665</v>
      </c>
    </row>
    <row r="63" spans="1:48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124</v>
      </c>
      <c r="V63" s="115">
        <v>68</v>
      </c>
      <c r="W63" s="114">
        <v>43116</v>
      </c>
      <c r="X63" s="193" t="s">
        <v>125</v>
      </c>
      <c r="Y63" s="200">
        <v>43130</v>
      </c>
      <c r="Z63" s="193"/>
      <c r="AA63" s="193"/>
      <c r="AB63" s="22">
        <v>0</v>
      </c>
      <c r="AC63" s="170">
        <v>0</v>
      </c>
      <c r="AD63" s="209">
        <v>335</v>
      </c>
      <c r="AE63" s="194">
        <v>67730.3</v>
      </c>
      <c r="AF63" s="209"/>
      <c r="AG63" s="194"/>
      <c r="AH63" s="209"/>
      <c r="AI63" s="194"/>
      <c r="AJ63" s="233"/>
      <c r="AK63" s="170">
        <f t="shared" si="6"/>
        <v>67730.3</v>
      </c>
      <c r="AL63" s="272">
        <v>0</v>
      </c>
      <c r="AM63" s="212">
        <v>0</v>
      </c>
      <c r="AN63" s="269">
        <v>335</v>
      </c>
      <c r="AO63" s="217">
        <f t="shared" si="2"/>
        <v>67730.3</v>
      </c>
      <c r="AP63" s="232"/>
      <c r="AQ63" s="229"/>
      <c r="AR63" s="212">
        <v>202.18</v>
      </c>
      <c r="AS63" s="212">
        <f t="shared" si="3"/>
        <v>0</v>
      </c>
      <c r="AT63" s="227">
        <v>155</v>
      </c>
      <c r="AU63" s="228">
        <f t="shared" si="4"/>
        <v>31337.9</v>
      </c>
      <c r="AV63" s="279">
        <f t="shared" si="5"/>
        <v>155</v>
      </c>
    </row>
    <row r="64" spans="1:48" s="62" customFormat="1" ht="26.25" customHeight="1">
      <c r="A64" s="59"/>
      <c r="B64" s="60"/>
      <c r="C64" s="60"/>
      <c r="D64" s="22"/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124</v>
      </c>
      <c r="V64" s="115">
        <v>135</v>
      </c>
      <c r="W64" s="114">
        <v>42761</v>
      </c>
      <c r="X64" s="193" t="s">
        <v>126</v>
      </c>
      <c r="Y64" s="200">
        <v>43130</v>
      </c>
      <c r="Z64" s="193"/>
      <c r="AA64" s="193"/>
      <c r="AB64" s="22">
        <v>0</v>
      </c>
      <c r="AC64" s="170">
        <v>0</v>
      </c>
      <c r="AD64" s="209">
        <v>155</v>
      </c>
      <c r="AE64" s="194">
        <v>31337.9</v>
      </c>
      <c r="AF64" s="209"/>
      <c r="AG64" s="194"/>
      <c r="AH64" s="209"/>
      <c r="AI64" s="194"/>
      <c r="AJ64" s="233"/>
      <c r="AK64" s="170">
        <f t="shared" si="6"/>
        <v>31337.9</v>
      </c>
      <c r="AL64" s="272">
        <v>0</v>
      </c>
      <c r="AM64" s="212">
        <v>0</v>
      </c>
      <c r="AN64" s="269">
        <v>155</v>
      </c>
      <c r="AO64" s="217">
        <f t="shared" si="2"/>
        <v>31337.9</v>
      </c>
      <c r="AP64" s="232"/>
      <c r="AQ64" s="229"/>
      <c r="AR64" s="212">
        <v>202.18</v>
      </c>
      <c r="AS64" s="212">
        <f t="shared" si="3"/>
        <v>0</v>
      </c>
      <c r="AT64" s="227">
        <v>155</v>
      </c>
      <c r="AU64" s="228">
        <f t="shared" si="4"/>
        <v>31337.9</v>
      </c>
      <c r="AV64" s="279">
        <f t="shared" si="5"/>
        <v>155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132</v>
      </c>
      <c r="V65" s="115">
        <v>108</v>
      </c>
      <c r="W65" s="114">
        <v>43119</v>
      </c>
      <c r="X65" s="193" t="s">
        <v>131</v>
      </c>
      <c r="Y65" s="200">
        <v>43130</v>
      </c>
      <c r="Z65" s="193"/>
      <c r="AA65" s="193"/>
      <c r="AB65" s="22">
        <v>0</v>
      </c>
      <c r="AC65" s="170">
        <v>0</v>
      </c>
      <c r="AD65" s="209">
        <v>340</v>
      </c>
      <c r="AE65" s="194">
        <v>68741.2</v>
      </c>
      <c r="AF65" s="209"/>
      <c r="AG65" s="194"/>
      <c r="AH65" s="209"/>
      <c r="AI65" s="194"/>
      <c r="AJ65" s="233"/>
      <c r="AK65" s="170">
        <f t="shared" si="6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27">
        <v>340</v>
      </c>
      <c r="AU65" s="228">
        <f t="shared" si="4"/>
        <v>68741.2</v>
      </c>
      <c r="AV65" s="279">
        <f t="shared" si="5"/>
        <v>340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659</v>
      </c>
      <c r="W66" s="114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22">
        <v>0</v>
      </c>
      <c r="AC66" s="170">
        <v>0</v>
      </c>
      <c r="AD66" s="209">
        <v>245</v>
      </c>
      <c r="AE66" s="194">
        <v>49534.1</v>
      </c>
      <c r="AF66" s="209"/>
      <c r="AG66" s="194"/>
      <c r="AH66" s="209"/>
      <c r="AI66" s="194"/>
      <c r="AJ66" s="233"/>
      <c r="AK66" s="170">
        <f t="shared" si="6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27">
        <v>245</v>
      </c>
      <c r="AU66" s="228">
        <f t="shared" si="4"/>
        <v>49534.1</v>
      </c>
      <c r="AV66" s="279">
        <f t="shared" si="5"/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3"/>
      <c r="AK67" s="170">
        <f t="shared" si="6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27">
        <v>555</v>
      </c>
      <c r="AU67" s="228">
        <f t="shared" si="4"/>
        <v>112209.90000000001</v>
      </c>
      <c r="AV67" s="279">
        <f t="shared" si="5"/>
        <v>555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175</v>
      </c>
      <c r="V68" s="115">
        <v>1006</v>
      </c>
      <c r="W68" s="114">
        <v>43244</v>
      </c>
      <c r="X68" s="193" t="s">
        <v>179</v>
      </c>
      <c r="Y68" s="200">
        <v>43285</v>
      </c>
      <c r="Z68" s="193"/>
      <c r="AA68" s="193"/>
      <c r="AB68" s="22">
        <v>0</v>
      </c>
      <c r="AC68" s="170">
        <v>0</v>
      </c>
      <c r="AD68" s="209">
        <v>45</v>
      </c>
      <c r="AE68" s="194">
        <v>8820</v>
      </c>
      <c r="AF68" s="209"/>
      <c r="AG68" s="194"/>
      <c r="AH68" s="209"/>
      <c r="AI68" s="194"/>
      <c r="AJ68" s="233"/>
      <c r="AK68" s="170">
        <f t="shared" si="6"/>
        <v>8820</v>
      </c>
      <c r="AL68" s="272">
        <v>0</v>
      </c>
      <c r="AM68" s="212">
        <v>0</v>
      </c>
      <c r="AN68" s="269">
        <v>45</v>
      </c>
      <c r="AO68" s="217">
        <f t="shared" si="2"/>
        <v>8820</v>
      </c>
      <c r="AP68" s="232"/>
      <c r="AQ68" s="229"/>
      <c r="AR68" s="212">
        <v>196</v>
      </c>
      <c r="AS68" s="212">
        <f t="shared" si="3"/>
        <v>0</v>
      </c>
      <c r="AT68" s="227">
        <v>45</v>
      </c>
      <c r="AU68" s="228">
        <f t="shared" si="4"/>
        <v>8820</v>
      </c>
      <c r="AV68" s="279">
        <f t="shared" si="5"/>
        <v>45</v>
      </c>
    </row>
    <row r="69" spans="1:48" s="62" customFormat="1" ht="26.25" customHeight="1">
      <c r="A69" s="59"/>
      <c r="B69" s="60"/>
      <c r="C69" s="60"/>
      <c r="D69" s="22"/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175</v>
      </c>
      <c r="V69" s="115">
        <v>1006</v>
      </c>
      <c r="W69" s="114">
        <v>43244</v>
      </c>
      <c r="X69" s="193" t="s">
        <v>179</v>
      </c>
      <c r="Y69" s="200">
        <v>43285</v>
      </c>
      <c r="Z69" s="193"/>
      <c r="AA69" s="193"/>
      <c r="AB69" s="22">
        <v>0</v>
      </c>
      <c r="AC69" s="170">
        <v>0</v>
      </c>
      <c r="AD69" s="209">
        <v>55</v>
      </c>
      <c r="AE69" s="194">
        <v>11119.9</v>
      </c>
      <c r="AF69" s="209"/>
      <c r="AG69" s="194"/>
      <c r="AH69" s="209"/>
      <c r="AI69" s="194"/>
      <c r="AJ69" s="233"/>
      <c r="AK69" s="170">
        <f t="shared" si="6"/>
        <v>11119.9</v>
      </c>
      <c r="AL69" s="272">
        <v>0</v>
      </c>
      <c r="AM69" s="212">
        <v>0</v>
      </c>
      <c r="AN69" s="269">
        <v>55</v>
      </c>
      <c r="AO69" s="217">
        <f t="shared" si="2"/>
        <v>11119.9</v>
      </c>
      <c r="AP69" s="232"/>
      <c r="AQ69" s="229"/>
      <c r="AR69" s="212">
        <v>202.18</v>
      </c>
      <c r="AS69" s="212">
        <f t="shared" si="3"/>
        <v>0</v>
      </c>
      <c r="AT69" s="227">
        <v>55</v>
      </c>
      <c r="AU69" s="228">
        <f t="shared" si="4"/>
        <v>11119.9</v>
      </c>
      <c r="AV69" s="279">
        <f t="shared" si="5"/>
        <v>55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3"/>
      <c r="AK70" s="170">
        <f t="shared" si="6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27">
        <v>210</v>
      </c>
      <c r="AU70" s="228">
        <f t="shared" si="4"/>
        <v>42457.8</v>
      </c>
      <c r="AV70" s="279">
        <f t="shared" si="5"/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3"/>
      <c r="AK71" s="170">
        <f t="shared" si="6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27">
        <v>105</v>
      </c>
      <c r="AU71" s="228">
        <f t="shared" si="4"/>
        <v>21228.9</v>
      </c>
      <c r="AV71" s="279">
        <f t="shared" si="5"/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3"/>
      <c r="AK72" s="170">
        <f t="shared" si="6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27">
        <v>30</v>
      </c>
      <c r="AU72" s="228">
        <f t="shared" si="4"/>
        <v>5880</v>
      </c>
      <c r="AV72" s="279">
        <f t="shared" si="5"/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3"/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30</v>
      </c>
      <c r="AU73" s="228"/>
      <c r="AV73" s="279">
        <f t="shared" si="5"/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3"/>
      <c r="AK74" s="170">
        <f t="shared" si="6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08">
        <v>0</v>
      </c>
      <c r="AU74" s="170">
        <f t="shared" si="4"/>
        <v>0</v>
      </c>
      <c r="AV74" s="233">
        <f t="shared" si="5"/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3"/>
      <c r="AK75" s="170">
        <f t="shared" si="6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08">
        <v>0</v>
      </c>
      <c r="AU75" s="170">
        <f t="shared" si="4"/>
        <v>0</v>
      </c>
      <c r="AV75" s="233">
        <f t="shared" si="5"/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3"/>
      <c r="AK76" s="170">
        <f t="shared" si="6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08">
        <v>0</v>
      </c>
      <c r="AU76" s="170">
        <f t="shared" si="4"/>
        <v>0</v>
      </c>
      <c r="AV76" s="233">
        <f t="shared" si="5"/>
        <v>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62" t="s">
        <v>68</v>
      </c>
      <c r="G77" s="222" t="s">
        <v>146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148</v>
      </c>
      <c r="V77" s="115">
        <v>834</v>
      </c>
      <c r="W77" s="114">
        <v>43222</v>
      </c>
      <c r="X77" s="193" t="s">
        <v>162</v>
      </c>
      <c r="Y77" s="200">
        <v>43242</v>
      </c>
      <c r="Z77" s="193"/>
      <c r="AA77" s="193"/>
      <c r="AB77" s="22">
        <v>0</v>
      </c>
      <c r="AC77" s="170">
        <v>0</v>
      </c>
      <c r="AD77" s="209">
        <v>10</v>
      </c>
      <c r="AE77" s="194">
        <v>2100.4</v>
      </c>
      <c r="AF77" s="209"/>
      <c r="AG77" s="194"/>
      <c r="AH77" s="209"/>
      <c r="AI77" s="194"/>
      <c r="AJ77" s="233"/>
      <c r="AK77" s="170">
        <f t="shared" si="6"/>
        <v>2100.4</v>
      </c>
      <c r="AL77" s="272">
        <v>0</v>
      </c>
      <c r="AM77" s="212">
        <v>0</v>
      </c>
      <c r="AN77" s="269">
        <v>10</v>
      </c>
      <c r="AO77" s="217">
        <f t="shared" si="2"/>
        <v>2100.4</v>
      </c>
      <c r="AP77" s="232"/>
      <c r="AQ77" s="229"/>
      <c r="AR77" s="212">
        <v>210.04</v>
      </c>
      <c r="AS77" s="212">
        <f t="shared" si="3"/>
        <v>0</v>
      </c>
      <c r="AT77" s="227">
        <v>10</v>
      </c>
      <c r="AU77" s="228">
        <f t="shared" si="4"/>
        <v>2100.4</v>
      </c>
      <c r="AV77" s="279">
        <f t="shared" si="5"/>
        <v>10</v>
      </c>
    </row>
    <row r="78" spans="1:48" s="62" customFormat="1" ht="26.25" customHeight="1">
      <c r="A78" s="59"/>
      <c r="B78" s="60"/>
      <c r="C78" s="60"/>
      <c r="D78" s="22"/>
      <c r="E78" s="79" t="s">
        <v>24</v>
      </c>
      <c r="F78" s="162" t="s">
        <v>68</v>
      </c>
      <c r="G78" s="222" t="s">
        <v>146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148</v>
      </c>
      <c r="V78" s="115">
        <v>1006</v>
      </c>
      <c r="W78" s="114">
        <v>43244</v>
      </c>
      <c r="X78" s="193" t="s">
        <v>179</v>
      </c>
      <c r="Y78" s="200">
        <v>43285</v>
      </c>
      <c r="Z78" s="193"/>
      <c r="AA78" s="193"/>
      <c r="AB78" s="22">
        <v>0</v>
      </c>
      <c r="AC78" s="170">
        <v>0</v>
      </c>
      <c r="AD78" s="209">
        <v>5</v>
      </c>
      <c r="AE78" s="194">
        <v>1019.35</v>
      </c>
      <c r="AF78" s="209"/>
      <c r="AG78" s="194"/>
      <c r="AH78" s="209"/>
      <c r="AI78" s="194"/>
      <c r="AJ78" s="233"/>
      <c r="AK78" s="170">
        <f t="shared" si="6"/>
        <v>1019.35</v>
      </c>
      <c r="AL78" s="272">
        <v>0</v>
      </c>
      <c r="AM78" s="212">
        <v>0</v>
      </c>
      <c r="AN78" s="269">
        <v>5</v>
      </c>
      <c r="AO78" s="217">
        <f t="shared" si="2"/>
        <v>1019.35</v>
      </c>
      <c r="AP78" s="232"/>
      <c r="AQ78" s="229"/>
      <c r="AR78" s="212">
        <v>203.87</v>
      </c>
      <c r="AS78" s="212">
        <f t="shared" si="3"/>
        <v>0</v>
      </c>
      <c r="AT78" s="227">
        <v>5</v>
      </c>
      <c r="AU78" s="228">
        <f t="shared" si="4"/>
        <v>1019.35</v>
      </c>
      <c r="AV78" s="279">
        <f t="shared" si="5"/>
        <v>5</v>
      </c>
    </row>
    <row r="79" spans="1:48" s="62" customFormat="1" ht="25.5" hidden="1" customHeight="1">
      <c r="A79" s="59"/>
      <c r="B79" s="60"/>
      <c r="C79" s="60"/>
      <c r="D79" s="22"/>
      <c r="E79" s="79" t="s">
        <v>24</v>
      </c>
      <c r="F79" s="51" t="s">
        <v>247</v>
      </c>
      <c r="G79" s="275" t="s">
        <v>114</v>
      </c>
      <c r="H79" s="115" t="s">
        <v>91</v>
      </c>
      <c r="I79" s="115" t="s">
        <v>91</v>
      </c>
      <c r="J79" s="115">
        <v>360</v>
      </c>
      <c r="K79" s="115">
        <v>1</v>
      </c>
      <c r="L79" s="276">
        <v>303.16000000000003</v>
      </c>
      <c r="M79" s="277">
        <f t="shared" si="0"/>
        <v>360</v>
      </c>
      <c r="N79" s="276">
        <f t="shared" si="1"/>
        <v>109137.60000000001</v>
      </c>
      <c r="O79" s="115">
        <v>180</v>
      </c>
      <c r="P79" s="276">
        <v>49667.4</v>
      </c>
      <c r="Q79" s="115">
        <v>360</v>
      </c>
      <c r="R79" s="276">
        <v>107470.8</v>
      </c>
      <c r="S79" s="115">
        <v>90</v>
      </c>
      <c r="T79" s="276">
        <v>27284.400000000001</v>
      </c>
      <c r="U79" s="278" t="s">
        <v>115</v>
      </c>
      <c r="V79" s="115">
        <v>1583</v>
      </c>
      <c r="W79" s="114">
        <v>43082</v>
      </c>
      <c r="X79" s="115" t="s">
        <v>113</v>
      </c>
      <c r="Y79" s="221">
        <v>43109</v>
      </c>
      <c r="Z79" s="115" t="s">
        <v>110</v>
      </c>
      <c r="AA79" s="221">
        <v>43111</v>
      </c>
      <c r="AB79" s="22">
        <v>0</v>
      </c>
      <c r="AC79" s="170">
        <v>0</v>
      </c>
      <c r="AD79" s="208">
        <v>8</v>
      </c>
      <c r="AE79" s="170">
        <v>2388</v>
      </c>
      <c r="AF79" s="208"/>
      <c r="AG79" s="170"/>
      <c r="AH79" s="208"/>
      <c r="AI79" s="170"/>
      <c r="AJ79" s="233"/>
      <c r="AK79" s="170">
        <f t="shared" si="6"/>
        <v>2388</v>
      </c>
      <c r="AL79" s="270">
        <v>0</v>
      </c>
      <c r="AM79" s="170">
        <v>0</v>
      </c>
      <c r="AN79" s="270">
        <v>8</v>
      </c>
      <c r="AO79" s="170">
        <f t="shared" si="2"/>
        <v>2388</v>
      </c>
      <c r="AP79" s="233"/>
      <c r="AQ79" s="233"/>
      <c r="AR79" s="170">
        <v>298.5</v>
      </c>
      <c r="AS79" s="170">
        <f t="shared" si="3"/>
        <v>0</v>
      </c>
      <c r="AT79" s="233">
        <f>8-8</f>
        <v>0</v>
      </c>
      <c r="AU79" s="386">
        <f t="shared" si="4"/>
        <v>0</v>
      </c>
      <c r="AV79" s="233">
        <f t="shared" si="5"/>
        <v>0</v>
      </c>
    </row>
    <row r="80" spans="1:48" s="62" customFormat="1" ht="25.5" hidden="1" customHeight="1">
      <c r="A80" s="59"/>
      <c r="B80" s="60"/>
      <c r="C80" s="60"/>
      <c r="D80" s="22"/>
      <c r="E80" s="79" t="s">
        <v>24</v>
      </c>
      <c r="F80" s="51" t="s">
        <v>247</v>
      </c>
      <c r="G80" s="275" t="s">
        <v>114</v>
      </c>
      <c r="H80" s="115" t="s">
        <v>91</v>
      </c>
      <c r="I80" s="115" t="s">
        <v>91</v>
      </c>
      <c r="J80" s="115"/>
      <c r="K80" s="115"/>
      <c r="L80" s="276"/>
      <c r="M80" s="277">
        <f t="shared" si="0"/>
        <v>0</v>
      </c>
      <c r="N80" s="276">
        <f t="shared" si="1"/>
        <v>0</v>
      </c>
      <c r="O80" s="115"/>
      <c r="P80" s="276"/>
      <c r="Q80" s="115"/>
      <c r="R80" s="276"/>
      <c r="S80" s="115"/>
      <c r="T80" s="276"/>
      <c r="U80" s="278" t="s">
        <v>137</v>
      </c>
      <c r="V80" s="115">
        <v>427</v>
      </c>
      <c r="W80" s="114">
        <v>43164</v>
      </c>
      <c r="X80" s="115" t="s">
        <v>138</v>
      </c>
      <c r="Y80" s="221">
        <v>43164</v>
      </c>
      <c r="Z80" s="115"/>
      <c r="AA80" s="115"/>
      <c r="AB80" s="22">
        <v>0</v>
      </c>
      <c r="AC80" s="170">
        <v>0</v>
      </c>
      <c r="AD80" s="208">
        <v>34</v>
      </c>
      <c r="AE80" s="170">
        <v>10149</v>
      </c>
      <c r="AF80" s="208"/>
      <c r="AG80" s="170"/>
      <c r="AH80" s="208"/>
      <c r="AI80" s="170"/>
      <c r="AJ80" s="233"/>
      <c r="AK80" s="170">
        <f t="shared" si="6"/>
        <v>10149</v>
      </c>
      <c r="AL80" s="270">
        <v>0</v>
      </c>
      <c r="AM80" s="170">
        <v>0</v>
      </c>
      <c r="AN80" s="270">
        <v>34</v>
      </c>
      <c r="AO80" s="170">
        <f t="shared" si="2"/>
        <v>10149</v>
      </c>
      <c r="AP80" s="233"/>
      <c r="AQ80" s="233"/>
      <c r="AR80" s="170">
        <v>298.5</v>
      </c>
      <c r="AS80" s="170">
        <f t="shared" si="3"/>
        <v>0</v>
      </c>
      <c r="AT80" s="233">
        <f>34-34</f>
        <v>0</v>
      </c>
      <c r="AU80" s="386">
        <f t="shared" si="4"/>
        <v>0</v>
      </c>
      <c r="AV80" s="233">
        <f t="shared" si="5"/>
        <v>0</v>
      </c>
    </row>
    <row r="81" spans="1:48" s="62" customFormat="1" ht="25.5" customHeight="1">
      <c r="A81" s="59"/>
      <c r="B81" s="60"/>
      <c r="C81" s="60"/>
      <c r="D81" s="22"/>
      <c r="E81" s="79" t="s">
        <v>24</v>
      </c>
      <c r="F81" s="140" t="s">
        <v>55</v>
      </c>
      <c r="G81" s="222" t="s">
        <v>114</v>
      </c>
      <c r="H81" s="193" t="s">
        <v>91</v>
      </c>
      <c r="I81" s="193" t="s">
        <v>91</v>
      </c>
      <c r="J81" s="193"/>
      <c r="K81" s="193"/>
      <c r="L81" s="243"/>
      <c r="M81" s="242">
        <f t="shared" si="0"/>
        <v>0</v>
      </c>
      <c r="N81" s="243">
        <f t="shared" si="1"/>
        <v>0</v>
      </c>
      <c r="O81" s="193"/>
      <c r="P81" s="243"/>
      <c r="Q81" s="193"/>
      <c r="R81" s="243"/>
      <c r="S81" s="193"/>
      <c r="T81" s="243"/>
      <c r="U81" s="203" t="s">
        <v>153</v>
      </c>
      <c r="V81" s="115">
        <v>613</v>
      </c>
      <c r="W81" s="114">
        <v>43193</v>
      </c>
      <c r="X81" s="193">
        <v>97</v>
      </c>
      <c r="Y81" s="200">
        <v>43202</v>
      </c>
      <c r="Z81" s="193" t="s">
        <v>154</v>
      </c>
      <c r="AA81" s="200">
        <v>43214</v>
      </c>
      <c r="AB81" s="22">
        <v>0</v>
      </c>
      <c r="AC81" s="170">
        <v>0</v>
      </c>
      <c r="AD81" s="209">
        <v>270</v>
      </c>
      <c r="AE81" s="194">
        <v>80595</v>
      </c>
      <c r="AF81" s="209"/>
      <c r="AG81" s="194"/>
      <c r="AH81" s="209"/>
      <c r="AI81" s="194"/>
      <c r="AJ81" s="233"/>
      <c r="AK81" s="170">
        <f t="shared" si="6"/>
        <v>80595</v>
      </c>
      <c r="AL81" s="272">
        <v>0</v>
      </c>
      <c r="AM81" s="212">
        <v>0</v>
      </c>
      <c r="AN81" s="269">
        <v>270</v>
      </c>
      <c r="AO81" s="217">
        <f t="shared" si="2"/>
        <v>80595</v>
      </c>
      <c r="AP81" s="232"/>
      <c r="AQ81" s="229"/>
      <c r="AR81" s="212">
        <v>298.5</v>
      </c>
      <c r="AS81" s="212">
        <f t="shared" si="3"/>
        <v>0</v>
      </c>
      <c r="AT81" s="227">
        <f>270-16-60</f>
        <v>194</v>
      </c>
      <c r="AU81" s="228">
        <f t="shared" si="4"/>
        <v>57909</v>
      </c>
      <c r="AV81" s="279">
        <f t="shared" si="5"/>
        <v>194</v>
      </c>
    </row>
    <row r="82" spans="1:48" s="62" customFormat="1" ht="25.5" customHeight="1">
      <c r="A82" s="59"/>
      <c r="B82" s="60"/>
      <c r="C82" s="60"/>
      <c r="D82" s="22"/>
      <c r="E82" s="79" t="s">
        <v>24</v>
      </c>
      <c r="F82" s="140" t="s">
        <v>55</v>
      </c>
      <c r="G82" s="222" t="s">
        <v>114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115</v>
      </c>
      <c r="V82" s="115">
        <v>612</v>
      </c>
      <c r="W82" s="114">
        <v>43193</v>
      </c>
      <c r="X82" s="193">
        <v>97</v>
      </c>
      <c r="Y82" s="200">
        <v>43202</v>
      </c>
      <c r="Z82" s="193" t="s">
        <v>155</v>
      </c>
      <c r="AA82" s="200">
        <v>43214</v>
      </c>
      <c r="AB82" s="22">
        <v>0</v>
      </c>
      <c r="AC82" s="170">
        <v>0</v>
      </c>
      <c r="AD82" s="209">
        <v>40</v>
      </c>
      <c r="AE82" s="194">
        <v>11940</v>
      </c>
      <c r="AF82" s="209"/>
      <c r="AG82" s="194"/>
      <c r="AH82" s="209"/>
      <c r="AI82" s="194"/>
      <c r="AJ82" s="233"/>
      <c r="AK82" s="170">
        <f t="shared" si="6"/>
        <v>11940</v>
      </c>
      <c r="AL82" s="272">
        <v>0</v>
      </c>
      <c r="AM82" s="212">
        <v>0</v>
      </c>
      <c r="AN82" s="269">
        <v>40</v>
      </c>
      <c r="AO82" s="217">
        <f t="shared" si="2"/>
        <v>11940</v>
      </c>
      <c r="AP82" s="232"/>
      <c r="AQ82" s="229"/>
      <c r="AR82" s="212">
        <v>298.5</v>
      </c>
      <c r="AS82" s="212">
        <f t="shared" si="3"/>
        <v>0</v>
      </c>
      <c r="AT82" s="227">
        <v>40</v>
      </c>
      <c r="AU82" s="228">
        <f t="shared" si="4"/>
        <v>11940</v>
      </c>
      <c r="AV82" s="279">
        <f t="shared" si="5"/>
        <v>40</v>
      </c>
    </row>
    <row r="83" spans="1:48" s="62" customFormat="1" ht="25.5" customHeight="1">
      <c r="A83" s="59"/>
      <c r="B83" s="60"/>
      <c r="C83" s="60"/>
      <c r="D83" s="22"/>
      <c r="E83" s="79"/>
      <c r="F83" s="140" t="s">
        <v>55</v>
      </c>
      <c r="G83" s="222" t="s">
        <v>114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3"/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6</v>
      </c>
      <c r="AU83" s="228"/>
      <c r="AV83" s="279">
        <f t="shared" si="5"/>
        <v>6</v>
      </c>
    </row>
    <row r="84" spans="1:48" s="62" customFormat="1" ht="25.5" hidden="1" customHeight="1">
      <c r="A84" s="59"/>
      <c r="B84" s="60"/>
      <c r="C84" s="60"/>
      <c r="D84" s="22"/>
      <c r="E84" s="79" t="s">
        <v>24</v>
      </c>
      <c r="F84" s="51" t="s">
        <v>250</v>
      </c>
      <c r="G84" s="275" t="s">
        <v>140</v>
      </c>
      <c r="H84" s="115" t="s">
        <v>91</v>
      </c>
      <c r="I84" s="115" t="s">
        <v>91</v>
      </c>
      <c r="J84" s="115">
        <v>1080</v>
      </c>
      <c r="K84" s="115">
        <v>2</v>
      </c>
      <c r="L84" s="276">
        <v>304.58999999999997</v>
      </c>
      <c r="M84" s="277">
        <f t="shared" si="0"/>
        <v>2160</v>
      </c>
      <c r="N84" s="276">
        <f t="shared" si="1"/>
        <v>657914.39999999991</v>
      </c>
      <c r="O84" s="115">
        <v>180</v>
      </c>
      <c r="P84" s="276">
        <v>49908.6</v>
      </c>
      <c r="Q84" s="115">
        <v>1080</v>
      </c>
      <c r="R84" s="276">
        <v>323838</v>
      </c>
      <c r="S84" s="115">
        <v>602</v>
      </c>
      <c r="T84" s="276">
        <v>183363.18</v>
      </c>
      <c r="U84" s="278" t="s">
        <v>139</v>
      </c>
      <c r="V84" s="115">
        <v>427</v>
      </c>
      <c r="W84" s="114">
        <v>43164</v>
      </c>
      <c r="X84" s="115" t="s">
        <v>138</v>
      </c>
      <c r="Y84" s="221">
        <v>43164</v>
      </c>
      <c r="Z84" s="115"/>
      <c r="AA84" s="115"/>
      <c r="AB84" s="22">
        <v>0</v>
      </c>
      <c r="AC84" s="170">
        <v>0</v>
      </c>
      <c r="AD84" s="208">
        <v>56</v>
      </c>
      <c r="AE84" s="170">
        <v>16794.400000000001</v>
      </c>
      <c r="AF84" s="208"/>
      <c r="AG84" s="170"/>
      <c r="AH84" s="208"/>
      <c r="AI84" s="170"/>
      <c r="AJ84" s="233"/>
      <c r="AK84" s="170">
        <f t="shared" si="6"/>
        <v>16794.400000000001</v>
      </c>
      <c r="AL84" s="270">
        <v>0</v>
      </c>
      <c r="AM84" s="170">
        <v>0</v>
      </c>
      <c r="AN84" s="270">
        <v>56</v>
      </c>
      <c r="AO84" s="170">
        <f t="shared" si="2"/>
        <v>16794.400000000001</v>
      </c>
      <c r="AP84" s="233"/>
      <c r="AQ84" s="233"/>
      <c r="AR84" s="170">
        <v>299.89999999999998</v>
      </c>
      <c r="AS84" s="170">
        <f t="shared" si="3"/>
        <v>0</v>
      </c>
      <c r="AT84" s="233">
        <f>18-18</f>
        <v>0</v>
      </c>
      <c r="AU84" s="386">
        <f t="shared" si="4"/>
        <v>0</v>
      </c>
      <c r="AV84" s="233">
        <f t="shared" si="5"/>
        <v>0</v>
      </c>
    </row>
    <row r="85" spans="1:48" s="62" customFormat="1" ht="25.5" customHeight="1">
      <c r="A85" s="59"/>
      <c r="B85" s="60"/>
      <c r="C85" s="60"/>
      <c r="D85" s="22"/>
      <c r="E85" s="79" t="s">
        <v>24</v>
      </c>
      <c r="F85" s="173" t="s">
        <v>64</v>
      </c>
      <c r="G85" s="222" t="s">
        <v>140</v>
      </c>
      <c r="H85" s="193" t="s">
        <v>91</v>
      </c>
      <c r="I85" s="193" t="s">
        <v>91</v>
      </c>
      <c r="J85" s="193"/>
      <c r="K85" s="193"/>
      <c r="L85" s="243"/>
      <c r="M85" s="242">
        <f t="shared" si="0"/>
        <v>0</v>
      </c>
      <c r="N85" s="243">
        <f t="shared" si="1"/>
        <v>0</v>
      </c>
      <c r="O85" s="193"/>
      <c r="P85" s="243"/>
      <c r="Q85" s="193"/>
      <c r="R85" s="243"/>
      <c r="S85" s="193"/>
      <c r="T85" s="243"/>
      <c r="U85" s="203" t="s">
        <v>157</v>
      </c>
      <c r="V85" s="115">
        <v>605</v>
      </c>
      <c r="W85" s="114">
        <v>43193</v>
      </c>
      <c r="X85" s="193">
        <v>97</v>
      </c>
      <c r="Y85" s="200">
        <v>43202</v>
      </c>
      <c r="Z85" s="193" t="s">
        <v>158</v>
      </c>
      <c r="AA85" s="200">
        <v>43216</v>
      </c>
      <c r="AB85" s="22">
        <v>0</v>
      </c>
      <c r="AC85" s="170">
        <v>0</v>
      </c>
      <c r="AD85" s="209">
        <v>510</v>
      </c>
      <c r="AE85" s="194">
        <v>152949</v>
      </c>
      <c r="AF85" s="209"/>
      <c r="AG85" s="194"/>
      <c r="AH85" s="209"/>
      <c r="AI85" s="194"/>
      <c r="AJ85" s="233"/>
      <c r="AK85" s="170">
        <f t="shared" si="6"/>
        <v>152949</v>
      </c>
      <c r="AL85" s="272">
        <v>0</v>
      </c>
      <c r="AM85" s="212">
        <v>0</v>
      </c>
      <c r="AN85" s="269">
        <v>510</v>
      </c>
      <c r="AO85" s="217">
        <f t="shared" si="2"/>
        <v>152949</v>
      </c>
      <c r="AP85" s="232"/>
      <c r="AQ85" s="229"/>
      <c r="AR85" s="212">
        <v>299.89999999999998</v>
      </c>
      <c r="AS85" s="212">
        <f t="shared" si="3"/>
        <v>0</v>
      </c>
      <c r="AT85" s="227">
        <f>510-42-60-60</f>
        <v>348</v>
      </c>
      <c r="AU85" s="228">
        <f t="shared" si="4"/>
        <v>104365.2</v>
      </c>
      <c r="AV85" s="279">
        <f t="shared" si="5"/>
        <v>348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244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3"/>
      <c r="AK86" s="170"/>
      <c r="AL86" s="272"/>
      <c r="AM86" s="212"/>
      <c r="AN86" s="269"/>
      <c r="AO86" s="217"/>
      <c r="AP86" s="232"/>
      <c r="AQ86" s="229"/>
      <c r="AR86" s="212"/>
      <c r="AS86" s="212"/>
      <c r="AT86" s="227">
        <v>368</v>
      </c>
      <c r="AU86" s="228"/>
      <c r="AV86" s="279">
        <f t="shared" si="5"/>
        <v>368</v>
      </c>
    </row>
    <row r="87" spans="1:48" s="62" customFormat="1" ht="31.5">
      <c r="A87" s="59"/>
      <c r="B87" s="60"/>
      <c r="C87" s="60"/>
      <c r="D87" s="22"/>
      <c r="E87" s="79" t="s">
        <v>24</v>
      </c>
      <c r="F87" s="150" t="s">
        <v>57</v>
      </c>
      <c r="G87" s="222" t="s">
        <v>121</v>
      </c>
      <c r="H87" s="193" t="s">
        <v>91</v>
      </c>
      <c r="I87" s="193" t="s">
        <v>91</v>
      </c>
      <c r="J87" s="193">
        <v>480</v>
      </c>
      <c r="K87" s="193">
        <v>3</v>
      </c>
      <c r="L87" s="243">
        <v>19.399999999999999</v>
      </c>
      <c r="M87" s="242">
        <f>J87*K87</f>
        <v>1440</v>
      </c>
      <c r="N87" s="243">
        <f t="shared" si="1"/>
        <v>27935.999999999996</v>
      </c>
      <c r="O87" s="193">
        <v>6637</v>
      </c>
      <c r="P87" s="243">
        <v>108249.47</v>
      </c>
      <c r="Q87" s="193">
        <v>4000</v>
      </c>
      <c r="R87" s="243">
        <v>89720</v>
      </c>
      <c r="S87" s="193"/>
      <c r="T87" s="243"/>
      <c r="U87" s="203" t="s">
        <v>120</v>
      </c>
      <c r="V87" s="115">
        <v>1745</v>
      </c>
      <c r="W87" s="114">
        <v>43096</v>
      </c>
      <c r="X87" s="193" t="s">
        <v>117</v>
      </c>
      <c r="Y87" s="200">
        <v>43109</v>
      </c>
      <c r="Z87" s="193" t="s">
        <v>118</v>
      </c>
      <c r="AA87" s="200">
        <v>43133</v>
      </c>
      <c r="AB87" s="22">
        <v>0</v>
      </c>
      <c r="AC87" s="170">
        <v>0</v>
      </c>
      <c r="AD87" s="209">
        <v>6637</v>
      </c>
      <c r="AE87" s="194">
        <v>102541.65</v>
      </c>
      <c r="AF87" s="209"/>
      <c r="AG87" s="194"/>
      <c r="AH87" s="209"/>
      <c r="AI87" s="194"/>
      <c r="AJ87" s="233"/>
      <c r="AK87" s="170">
        <f t="shared" si="6"/>
        <v>102541.65</v>
      </c>
      <c r="AL87" s="272">
        <f>180+290</f>
        <v>470</v>
      </c>
      <c r="AM87" s="212">
        <f>AL87*AR87</f>
        <v>7261.5</v>
      </c>
      <c r="AN87" s="269">
        <v>6167</v>
      </c>
      <c r="AO87" s="217">
        <f t="shared" si="2"/>
        <v>95280.15</v>
      </c>
      <c r="AP87" s="232"/>
      <c r="AQ87" s="229"/>
      <c r="AR87" s="212">
        <v>15.45</v>
      </c>
      <c r="AS87" s="212">
        <f t="shared" si="3"/>
        <v>0</v>
      </c>
      <c r="AT87" s="227">
        <f>5867-550-40-4737-460-30</f>
        <v>50</v>
      </c>
      <c r="AU87" s="228">
        <f t="shared" si="4"/>
        <v>772.5</v>
      </c>
      <c r="AV87" s="279">
        <f t="shared" si="5"/>
        <v>50</v>
      </c>
    </row>
    <row r="88" spans="1:48" s="62" customFormat="1" ht="31.5">
      <c r="A88" s="59"/>
      <c r="B88" s="60"/>
      <c r="C88" s="60"/>
      <c r="D88" s="22"/>
      <c r="E88" s="79" t="s">
        <v>24</v>
      </c>
      <c r="F88" s="150" t="s">
        <v>57</v>
      </c>
      <c r="G88" s="222" t="s">
        <v>121</v>
      </c>
      <c r="H88" s="193" t="s">
        <v>91</v>
      </c>
      <c r="I88" s="193" t="s">
        <v>91</v>
      </c>
      <c r="J88" s="193"/>
      <c r="K88" s="193"/>
      <c r="L88" s="243"/>
      <c r="M88" s="242">
        <f t="shared" ref="M88:M89" si="8">J88*K88</f>
        <v>0</v>
      </c>
      <c r="N88" s="243">
        <f t="shared" ref="N88:N91" si="9">L88*M88</f>
        <v>0</v>
      </c>
      <c r="O88" s="193"/>
      <c r="P88" s="243"/>
      <c r="Q88" s="193"/>
      <c r="R88" s="243"/>
      <c r="S88" s="193"/>
      <c r="T88" s="243"/>
      <c r="U88" s="203" t="s">
        <v>173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144</v>
      </c>
      <c r="AE88" s="194">
        <v>2142.7199999999998</v>
      </c>
      <c r="AF88" s="209"/>
      <c r="AG88" s="194"/>
      <c r="AH88" s="209"/>
      <c r="AI88" s="194"/>
      <c r="AJ88" s="233"/>
      <c r="AK88" s="170">
        <f t="shared" si="6"/>
        <v>2142.7199999999998</v>
      </c>
      <c r="AL88" s="272">
        <v>0</v>
      </c>
      <c r="AM88" s="212">
        <v>0</v>
      </c>
      <c r="AN88" s="269">
        <v>144</v>
      </c>
      <c r="AO88" s="217">
        <f t="shared" ref="AO88" si="10">AC88+AK88-AM88</f>
        <v>2142.7199999999998</v>
      </c>
      <c r="AP88" s="232"/>
      <c r="AQ88" s="229"/>
      <c r="AR88" s="212">
        <v>14.88</v>
      </c>
      <c r="AS88" s="212">
        <f t="shared" si="3"/>
        <v>0</v>
      </c>
      <c r="AT88" s="227">
        <v>144</v>
      </c>
      <c r="AU88" s="228">
        <f t="shared" si="4"/>
        <v>2142.7200000000003</v>
      </c>
      <c r="AV88" s="279">
        <f t="shared" ref="AV88:AV98" si="11">AT88</f>
        <v>144</v>
      </c>
    </row>
    <row r="89" spans="1:48" s="62" customFormat="1" ht="31.5">
      <c r="A89" s="59"/>
      <c r="B89" s="60"/>
      <c r="C89" s="60"/>
      <c r="D89" s="22"/>
      <c r="E89" s="79" t="s">
        <v>24</v>
      </c>
      <c r="F89" s="150" t="s">
        <v>57</v>
      </c>
      <c r="G89" s="222" t="s">
        <v>121</v>
      </c>
      <c r="H89" s="193" t="s">
        <v>91</v>
      </c>
      <c r="I89" s="193" t="s">
        <v>91</v>
      </c>
      <c r="J89" s="193"/>
      <c r="K89" s="193"/>
      <c r="L89" s="243"/>
      <c r="M89" s="242">
        <f t="shared" si="8"/>
        <v>0</v>
      </c>
      <c r="N89" s="243">
        <f t="shared" si="9"/>
        <v>0</v>
      </c>
      <c r="O89" s="193"/>
      <c r="P89" s="243"/>
      <c r="Q89" s="193"/>
      <c r="R89" s="243"/>
      <c r="S89" s="193"/>
      <c r="T89" s="243"/>
      <c r="U89" s="203" t="s">
        <v>183</v>
      </c>
      <c r="V89" s="115">
        <v>1418</v>
      </c>
      <c r="W89" s="114">
        <v>43312</v>
      </c>
      <c r="X89" s="193" t="s">
        <v>184</v>
      </c>
      <c r="Y89" s="200">
        <v>43332</v>
      </c>
      <c r="Z89" s="193" t="s">
        <v>185</v>
      </c>
      <c r="AA89" s="200">
        <v>43320</v>
      </c>
      <c r="AB89" s="22">
        <v>0</v>
      </c>
      <c r="AC89" s="170">
        <v>0</v>
      </c>
      <c r="AD89" s="209">
        <v>76</v>
      </c>
      <c r="AE89" s="194">
        <v>1130.8800000000001</v>
      </c>
      <c r="AF89" s="209"/>
      <c r="AG89" s="194"/>
      <c r="AH89" s="209"/>
      <c r="AI89" s="194"/>
      <c r="AJ89" s="233"/>
      <c r="AK89" s="170">
        <f t="shared" si="6"/>
        <v>1130.8800000000001</v>
      </c>
      <c r="AL89" s="272">
        <v>0</v>
      </c>
      <c r="AM89" s="212">
        <v>0</v>
      </c>
      <c r="AN89" s="269">
        <v>76</v>
      </c>
      <c r="AO89" s="217">
        <v>0</v>
      </c>
      <c r="AP89" s="232"/>
      <c r="AQ89" s="229"/>
      <c r="AR89" s="212">
        <v>14.88</v>
      </c>
      <c r="AS89" s="212">
        <f t="shared" si="3"/>
        <v>0</v>
      </c>
      <c r="AT89" s="227">
        <v>76</v>
      </c>
      <c r="AU89" s="228">
        <f t="shared" si="4"/>
        <v>1130.8800000000001</v>
      </c>
      <c r="AV89" s="279">
        <f t="shared" si="11"/>
        <v>76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121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/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3"/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45</v>
      </c>
      <c r="AU90" s="228"/>
      <c r="AV90" s="279">
        <v>45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78" t="s">
        <v>58</v>
      </c>
      <c r="G91" s="222" t="s">
        <v>123</v>
      </c>
      <c r="H91" s="193" t="s">
        <v>91</v>
      </c>
      <c r="I91" s="193" t="s">
        <v>91</v>
      </c>
      <c r="J91" s="193">
        <v>5</v>
      </c>
      <c r="K91" s="193">
        <v>5</v>
      </c>
      <c r="L91" s="243">
        <v>2899.28</v>
      </c>
      <c r="M91" s="242">
        <f>J91*K91</f>
        <v>25</v>
      </c>
      <c r="N91" s="243">
        <f t="shared" si="9"/>
        <v>72482</v>
      </c>
      <c r="O91" s="193">
        <v>4</v>
      </c>
      <c r="P91" s="243">
        <v>8377.6</v>
      </c>
      <c r="Q91" s="193"/>
      <c r="R91" s="243"/>
      <c r="S91" s="193"/>
      <c r="T91" s="243"/>
      <c r="U91" s="203" t="s">
        <v>122</v>
      </c>
      <c r="V91" s="115">
        <v>1745</v>
      </c>
      <c r="W91" s="114">
        <v>43096</v>
      </c>
      <c r="X91" s="193" t="s">
        <v>117</v>
      </c>
      <c r="Y91" s="200">
        <v>43109</v>
      </c>
      <c r="Z91" s="193" t="s">
        <v>118</v>
      </c>
      <c r="AA91" s="200">
        <v>43133</v>
      </c>
      <c r="AB91" s="22">
        <v>0</v>
      </c>
      <c r="AC91" s="170">
        <v>0</v>
      </c>
      <c r="AD91" s="209">
        <v>4</v>
      </c>
      <c r="AE91" s="194">
        <v>9062.24</v>
      </c>
      <c r="AF91" s="209"/>
      <c r="AG91" s="194"/>
      <c r="AH91" s="209"/>
      <c r="AI91" s="194"/>
      <c r="AJ91" s="233"/>
      <c r="AK91" s="170">
        <f t="shared" si="6"/>
        <v>9062.24</v>
      </c>
      <c r="AL91" s="272">
        <v>0</v>
      </c>
      <c r="AM91" s="212">
        <v>0</v>
      </c>
      <c r="AN91" s="269">
        <v>4</v>
      </c>
      <c r="AO91" s="217">
        <f t="shared" ref="AO91:AO98" si="12">AC91+AK91-AM91</f>
        <v>9062.24</v>
      </c>
      <c r="AP91" s="232"/>
      <c r="AQ91" s="229"/>
      <c r="AR91" s="212">
        <v>2265.56</v>
      </c>
      <c r="AS91" s="212">
        <f t="shared" si="3"/>
        <v>0</v>
      </c>
      <c r="AT91" s="227">
        <v>4</v>
      </c>
      <c r="AU91" s="228">
        <f t="shared" si="4"/>
        <v>9062.24</v>
      </c>
      <c r="AV91" s="279">
        <f t="shared" si="11"/>
        <v>4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78" t="s">
        <v>58</v>
      </c>
      <c r="G92" s="222" t="s">
        <v>123</v>
      </c>
      <c r="H92" s="193" t="s">
        <v>91</v>
      </c>
      <c r="I92" s="193" t="s">
        <v>91</v>
      </c>
      <c r="J92" s="193"/>
      <c r="K92" s="193"/>
      <c r="L92" s="243"/>
      <c r="M92" s="242">
        <f t="shared" ref="M92:M98" si="13">J92*K92</f>
        <v>0</v>
      </c>
      <c r="N92" s="243">
        <f>L92*M92</f>
        <v>0</v>
      </c>
      <c r="O92" s="193"/>
      <c r="P92" s="243"/>
      <c r="Q92" s="193"/>
      <c r="R92" s="243"/>
      <c r="S92" s="193"/>
      <c r="T92" s="243"/>
      <c r="U92" s="203" t="s">
        <v>170</v>
      </c>
      <c r="V92" s="115">
        <v>834</v>
      </c>
      <c r="W92" s="114">
        <v>43222</v>
      </c>
      <c r="X92" s="193" t="s">
        <v>162</v>
      </c>
      <c r="Y92" s="200">
        <v>43242</v>
      </c>
      <c r="Z92" s="193"/>
      <c r="AA92" s="193"/>
      <c r="AB92" s="22">
        <v>0</v>
      </c>
      <c r="AC92" s="170">
        <v>0</v>
      </c>
      <c r="AD92" s="209">
        <v>2</v>
      </c>
      <c r="AE92" s="194">
        <v>4531.12</v>
      </c>
      <c r="AF92" s="209"/>
      <c r="AG92" s="194"/>
      <c r="AH92" s="209"/>
      <c r="AI92" s="194"/>
      <c r="AJ92" s="233"/>
      <c r="AK92" s="170">
        <f t="shared" si="6"/>
        <v>4531.12</v>
      </c>
      <c r="AL92" s="272">
        <v>0</v>
      </c>
      <c r="AM92" s="212">
        <v>0</v>
      </c>
      <c r="AN92" s="269">
        <v>2</v>
      </c>
      <c r="AO92" s="217">
        <f t="shared" si="12"/>
        <v>4531.12</v>
      </c>
      <c r="AP92" s="232"/>
      <c r="AQ92" s="229"/>
      <c r="AR92" s="212">
        <v>2265.56</v>
      </c>
      <c r="AS92" s="212">
        <f t="shared" ref="AS92:AS98" si="14">AQ92*AR92</f>
        <v>0</v>
      </c>
      <c r="AT92" s="227">
        <v>2</v>
      </c>
      <c r="AU92" s="228">
        <f t="shared" ref="AU92:AU98" si="15">AT92*AR92</f>
        <v>4531.12</v>
      </c>
      <c r="AV92" s="279">
        <f t="shared" si="11"/>
        <v>2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>
        <v>48</v>
      </c>
      <c r="K93" s="193">
        <v>3</v>
      </c>
      <c r="L93" s="243">
        <v>71.97</v>
      </c>
      <c r="M93" s="242">
        <f t="shared" si="13"/>
        <v>144</v>
      </c>
      <c r="N93" s="243">
        <f t="shared" ref="N93:N98" si="16">L93*M93</f>
        <v>10363.68</v>
      </c>
      <c r="O93" s="193">
        <v>14</v>
      </c>
      <c r="P93" s="243">
        <v>714.98</v>
      </c>
      <c r="Q93" s="193"/>
      <c r="R93" s="243"/>
      <c r="S93" s="193"/>
      <c r="T93" s="243"/>
      <c r="U93" s="203" t="s">
        <v>128</v>
      </c>
      <c r="V93" s="115">
        <v>135</v>
      </c>
      <c r="W93" s="114">
        <v>42761</v>
      </c>
      <c r="X93" s="193" t="s">
        <v>126</v>
      </c>
      <c r="Y93" s="200">
        <v>43130</v>
      </c>
      <c r="Z93" s="193"/>
      <c r="AA93" s="193"/>
      <c r="AB93" s="22">
        <v>0</v>
      </c>
      <c r="AC93" s="170">
        <v>0</v>
      </c>
      <c r="AD93" s="209">
        <v>14</v>
      </c>
      <c r="AE93" s="194">
        <v>774.48</v>
      </c>
      <c r="AF93" s="209"/>
      <c r="AG93" s="194"/>
      <c r="AH93" s="209"/>
      <c r="AI93" s="194"/>
      <c r="AJ93" s="233"/>
      <c r="AK93" s="170">
        <f t="shared" ref="AK93:AK98" si="17">AE93+AG93+AI93</f>
        <v>774.48</v>
      </c>
      <c r="AL93" s="272">
        <v>0</v>
      </c>
      <c r="AM93" s="212">
        <v>0</v>
      </c>
      <c r="AN93" s="269">
        <v>14</v>
      </c>
      <c r="AO93" s="217">
        <f t="shared" si="12"/>
        <v>774.48</v>
      </c>
      <c r="AP93" s="232"/>
      <c r="AQ93" s="229"/>
      <c r="AR93" s="212">
        <v>55.32</v>
      </c>
      <c r="AS93" s="212">
        <f t="shared" si="14"/>
        <v>0</v>
      </c>
      <c r="AT93" s="227">
        <f>14-2</f>
        <v>12</v>
      </c>
      <c r="AU93" s="228">
        <f t="shared" si="15"/>
        <v>663.84</v>
      </c>
      <c r="AV93" s="279">
        <f t="shared" si="11"/>
        <v>12</v>
      </c>
    </row>
    <row r="94" spans="1:48" s="62" customFormat="1" ht="26.25" customHeight="1">
      <c r="A94" s="59"/>
      <c r="B94" s="60"/>
      <c r="C94" s="60"/>
      <c r="D94" s="22"/>
      <c r="E94" s="79" t="s">
        <v>24</v>
      </c>
      <c r="F94" s="161" t="s">
        <v>61</v>
      </c>
      <c r="G94" s="222" t="s">
        <v>127</v>
      </c>
      <c r="H94" s="193" t="s">
        <v>91</v>
      </c>
      <c r="I94" s="193" t="s">
        <v>91</v>
      </c>
      <c r="J94" s="193"/>
      <c r="K94" s="193"/>
      <c r="L94" s="243"/>
      <c r="M94" s="242">
        <f t="shared" si="13"/>
        <v>0</v>
      </c>
      <c r="N94" s="243">
        <f t="shared" si="16"/>
        <v>0</v>
      </c>
      <c r="O94" s="193"/>
      <c r="P94" s="243"/>
      <c r="Q94" s="193"/>
      <c r="R94" s="243"/>
      <c r="S94" s="193"/>
      <c r="T94" s="243"/>
      <c r="U94" s="203" t="s">
        <v>171</v>
      </c>
      <c r="V94" s="115">
        <v>834</v>
      </c>
      <c r="W94" s="114">
        <v>43222</v>
      </c>
      <c r="X94" s="193" t="s">
        <v>162</v>
      </c>
      <c r="Y94" s="200">
        <v>43242</v>
      </c>
      <c r="Z94" s="193"/>
      <c r="AA94" s="193"/>
      <c r="AB94" s="22">
        <v>0</v>
      </c>
      <c r="AC94" s="170">
        <v>0</v>
      </c>
      <c r="AD94" s="209">
        <v>26</v>
      </c>
      <c r="AE94" s="194">
        <v>1438.32</v>
      </c>
      <c r="AF94" s="209"/>
      <c r="AG94" s="194"/>
      <c r="AH94" s="209"/>
      <c r="AI94" s="194"/>
      <c r="AJ94" s="233"/>
      <c r="AK94" s="170">
        <f t="shared" si="17"/>
        <v>1438.32</v>
      </c>
      <c r="AL94" s="272">
        <v>0</v>
      </c>
      <c r="AM94" s="212">
        <v>0</v>
      </c>
      <c r="AN94" s="269">
        <v>26</v>
      </c>
      <c r="AO94" s="217">
        <f t="shared" si="12"/>
        <v>1438.32</v>
      </c>
      <c r="AP94" s="232"/>
      <c r="AQ94" s="229"/>
      <c r="AR94" s="212">
        <v>55.32</v>
      </c>
      <c r="AS94" s="212">
        <f t="shared" si="14"/>
        <v>0</v>
      </c>
      <c r="AT94" s="227">
        <v>26</v>
      </c>
      <c r="AU94" s="228">
        <f t="shared" si="15"/>
        <v>1438.32</v>
      </c>
      <c r="AV94" s="279">
        <f t="shared" si="11"/>
        <v>26</v>
      </c>
    </row>
    <row r="95" spans="1:48" s="62" customFormat="1" ht="26.25" customHeight="1">
      <c r="A95" s="59"/>
      <c r="B95" s="60"/>
      <c r="C95" s="60"/>
      <c r="D95" s="22"/>
      <c r="E95" s="79" t="s">
        <v>24</v>
      </c>
      <c r="F95" s="179" t="s">
        <v>62</v>
      </c>
      <c r="G95" s="222" t="s">
        <v>129</v>
      </c>
      <c r="H95" s="193" t="s">
        <v>91</v>
      </c>
      <c r="I95" s="193" t="s">
        <v>91</v>
      </c>
      <c r="J95" s="193">
        <v>24</v>
      </c>
      <c r="K95" s="193">
        <v>4</v>
      </c>
      <c r="L95" s="243">
        <v>984.1</v>
      </c>
      <c r="M95" s="242">
        <f t="shared" si="13"/>
        <v>96</v>
      </c>
      <c r="N95" s="243">
        <f t="shared" si="16"/>
        <v>94473.600000000006</v>
      </c>
      <c r="O95" s="193">
        <v>6</v>
      </c>
      <c r="P95" s="243">
        <v>4721.3999999999996</v>
      </c>
      <c r="Q95" s="193"/>
      <c r="R95" s="243"/>
      <c r="S95" s="193"/>
      <c r="T95" s="243"/>
      <c r="U95" s="203" t="s">
        <v>130</v>
      </c>
      <c r="V95" s="115">
        <v>135</v>
      </c>
      <c r="W95" s="114">
        <v>42761</v>
      </c>
      <c r="X95" s="193" t="s">
        <v>126</v>
      </c>
      <c r="Y95" s="200">
        <v>43130</v>
      </c>
      <c r="Z95" s="193"/>
      <c r="AA95" s="193"/>
      <c r="AB95" s="22">
        <v>0</v>
      </c>
      <c r="AC95" s="170">
        <v>0</v>
      </c>
      <c r="AD95" s="209">
        <v>6</v>
      </c>
      <c r="AE95" s="194">
        <v>4549.08</v>
      </c>
      <c r="AF95" s="209"/>
      <c r="AG95" s="194"/>
      <c r="AH95" s="209"/>
      <c r="AI95" s="194"/>
      <c r="AJ95" s="233"/>
      <c r="AK95" s="170">
        <f t="shared" si="17"/>
        <v>4549.08</v>
      </c>
      <c r="AL95" s="272">
        <v>0</v>
      </c>
      <c r="AM95" s="212">
        <v>0</v>
      </c>
      <c r="AN95" s="269">
        <v>6</v>
      </c>
      <c r="AO95" s="217">
        <f t="shared" si="12"/>
        <v>4549.08</v>
      </c>
      <c r="AP95" s="232"/>
      <c r="AQ95" s="229"/>
      <c r="AR95" s="212">
        <v>758.18</v>
      </c>
      <c r="AS95" s="212">
        <f t="shared" si="14"/>
        <v>0</v>
      </c>
      <c r="AT95" s="227">
        <v>6</v>
      </c>
      <c r="AU95" s="228">
        <f t="shared" si="15"/>
        <v>4549.08</v>
      </c>
      <c r="AV95" s="279">
        <f t="shared" si="11"/>
        <v>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79" t="s">
        <v>62</v>
      </c>
      <c r="G96" s="222" t="s">
        <v>129</v>
      </c>
      <c r="H96" s="193" t="s">
        <v>91</v>
      </c>
      <c r="I96" s="193" t="s">
        <v>91</v>
      </c>
      <c r="J96" s="193"/>
      <c r="K96" s="193"/>
      <c r="L96" s="243"/>
      <c r="M96" s="242">
        <f t="shared" si="13"/>
        <v>0</v>
      </c>
      <c r="N96" s="243">
        <f t="shared" si="16"/>
        <v>0</v>
      </c>
      <c r="O96" s="193"/>
      <c r="P96" s="243"/>
      <c r="Q96" s="193"/>
      <c r="R96" s="243"/>
      <c r="S96" s="193"/>
      <c r="T96" s="243"/>
      <c r="U96" s="203" t="s">
        <v>172</v>
      </c>
      <c r="V96" s="115">
        <v>834</v>
      </c>
      <c r="W96" s="114">
        <v>43222</v>
      </c>
      <c r="X96" s="193" t="s">
        <v>162</v>
      </c>
      <c r="Y96" s="200">
        <v>43242</v>
      </c>
      <c r="Z96" s="193"/>
      <c r="AA96" s="193"/>
      <c r="AB96" s="22">
        <v>0</v>
      </c>
      <c r="AC96" s="170">
        <v>0</v>
      </c>
      <c r="AD96" s="209">
        <v>10</v>
      </c>
      <c r="AE96" s="194">
        <v>7581.8</v>
      </c>
      <c r="AF96" s="209"/>
      <c r="AG96" s="194"/>
      <c r="AH96" s="209"/>
      <c r="AI96" s="194"/>
      <c r="AJ96" s="233"/>
      <c r="AK96" s="170">
        <f t="shared" si="17"/>
        <v>7581.8</v>
      </c>
      <c r="AL96" s="272">
        <v>0</v>
      </c>
      <c r="AM96" s="212">
        <v>0</v>
      </c>
      <c r="AN96" s="269">
        <v>10</v>
      </c>
      <c r="AO96" s="217">
        <f t="shared" si="12"/>
        <v>7581.8</v>
      </c>
      <c r="AP96" s="232"/>
      <c r="AQ96" s="229"/>
      <c r="AR96" s="212">
        <v>758.18</v>
      </c>
      <c r="AS96" s="212">
        <f t="shared" si="14"/>
        <v>0</v>
      </c>
      <c r="AT96" s="227">
        <v>10</v>
      </c>
      <c r="AU96" s="228">
        <f t="shared" si="15"/>
        <v>7581.7999999999993</v>
      </c>
      <c r="AV96" s="279">
        <f t="shared" si="11"/>
        <v>10</v>
      </c>
    </row>
    <row r="97" spans="1:48" s="62" customFormat="1" ht="26.25" customHeight="1">
      <c r="A97" s="59"/>
      <c r="B97" s="60"/>
      <c r="C97" s="60"/>
      <c r="D97" s="22"/>
      <c r="E97" s="79"/>
      <c r="F97" s="179" t="s">
        <v>62</v>
      </c>
      <c r="G97" s="222" t="s">
        <v>129</v>
      </c>
      <c r="H97" s="193"/>
      <c r="I97" s="193"/>
      <c r="J97" s="193"/>
      <c r="K97" s="193"/>
      <c r="L97" s="243"/>
      <c r="M97" s="242"/>
      <c r="N97" s="243"/>
      <c r="O97" s="193"/>
      <c r="P97" s="243"/>
      <c r="Q97" s="193"/>
      <c r="R97" s="243"/>
      <c r="S97" s="193"/>
      <c r="T97" s="243"/>
      <c r="U97" s="203"/>
      <c r="V97" s="115"/>
      <c r="W97" s="114"/>
      <c r="X97" s="193"/>
      <c r="Y97" s="200"/>
      <c r="Z97" s="193"/>
      <c r="AA97" s="193"/>
      <c r="AB97" s="22"/>
      <c r="AC97" s="170"/>
      <c r="AD97" s="209"/>
      <c r="AE97" s="194"/>
      <c r="AF97" s="209"/>
      <c r="AG97" s="194"/>
      <c r="AH97" s="209"/>
      <c r="AI97" s="194"/>
      <c r="AJ97" s="233"/>
      <c r="AK97" s="170"/>
      <c r="AL97" s="272"/>
      <c r="AM97" s="212"/>
      <c r="AN97" s="269"/>
      <c r="AO97" s="217"/>
      <c r="AP97" s="232"/>
      <c r="AQ97" s="229"/>
      <c r="AR97" s="212"/>
      <c r="AS97" s="212"/>
      <c r="AT97" s="227">
        <v>4</v>
      </c>
      <c r="AU97" s="228"/>
      <c r="AV97" s="279">
        <v>4</v>
      </c>
    </row>
    <row r="98" spans="1:48" s="62" customFormat="1" ht="26.25" customHeight="1">
      <c r="A98" s="59"/>
      <c r="B98" s="60"/>
      <c r="C98" s="60"/>
      <c r="D98" s="22"/>
      <c r="E98" s="79" t="s">
        <v>24</v>
      </c>
      <c r="F98" s="191" t="s">
        <v>66</v>
      </c>
      <c r="G98" s="222" t="s">
        <v>135</v>
      </c>
      <c r="H98" s="193" t="s">
        <v>91</v>
      </c>
      <c r="I98" s="193" t="s">
        <v>91</v>
      </c>
      <c r="J98" s="193">
        <v>4</v>
      </c>
      <c r="K98" s="193">
        <v>4</v>
      </c>
      <c r="L98" s="243">
        <v>2051.94</v>
      </c>
      <c r="M98" s="242">
        <f t="shared" si="13"/>
        <v>16</v>
      </c>
      <c r="N98" s="243">
        <f t="shared" si="16"/>
        <v>32831.040000000001</v>
      </c>
      <c r="O98" s="193">
        <v>4</v>
      </c>
      <c r="P98" s="243">
        <v>4104.6400000000003</v>
      </c>
      <c r="Q98" s="193"/>
      <c r="R98" s="243"/>
      <c r="S98" s="193"/>
      <c r="T98" s="243"/>
      <c r="U98" s="203">
        <v>1633600163</v>
      </c>
      <c r="V98" s="115">
        <v>260</v>
      </c>
      <c r="W98" s="114">
        <v>43145</v>
      </c>
      <c r="X98" s="193" t="s">
        <v>94</v>
      </c>
      <c r="Y98" s="200">
        <v>43164</v>
      </c>
      <c r="Z98" s="193"/>
      <c r="AA98" s="193"/>
      <c r="AB98" s="22">
        <v>0</v>
      </c>
      <c r="AC98" s="170">
        <v>0</v>
      </c>
      <c r="AD98" s="209">
        <v>2</v>
      </c>
      <c r="AE98" s="194">
        <f>2020.4+2020.4</f>
        <v>4040.8</v>
      </c>
      <c r="AF98" s="209"/>
      <c r="AG98" s="194"/>
      <c r="AH98" s="209"/>
      <c r="AI98" s="194"/>
      <c r="AJ98" s="233"/>
      <c r="AK98" s="170">
        <f t="shared" si="17"/>
        <v>4040.8</v>
      </c>
      <c r="AL98" s="272">
        <v>0</v>
      </c>
      <c r="AM98" s="212">
        <v>0</v>
      </c>
      <c r="AN98" s="269">
        <v>2</v>
      </c>
      <c r="AO98" s="217">
        <f t="shared" si="12"/>
        <v>4040.8</v>
      </c>
      <c r="AP98" s="232"/>
      <c r="AQ98" s="229"/>
      <c r="AR98" s="212">
        <v>2020.4</v>
      </c>
      <c r="AS98" s="212">
        <f t="shared" si="14"/>
        <v>0</v>
      </c>
      <c r="AT98" s="227">
        <v>2</v>
      </c>
      <c r="AU98" s="228">
        <f t="shared" si="15"/>
        <v>4040.8</v>
      </c>
      <c r="AV98" s="279">
        <f t="shared" si="11"/>
        <v>2</v>
      </c>
    </row>
    <row r="99" spans="1:48" s="251" customFormat="1" ht="21" customHeight="1">
      <c r="A99" s="20" t="s">
        <v>11</v>
      </c>
      <c r="B99" s="20"/>
      <c r="C99" s="20"/>
      <c r="D99" s="695" t="s">
        <v>34</v>
      </c>
      <c r="E99" s="696"/>
      <c r="F99" s="697"/>
      <c r="G99" s="246"/>
      <c r="H99" s="246"/>
      <c r="I99" s="246"/>
      <c r="J99" s="246"/>
      <c r="K99" s="247">
        <f>SUM(K17:K98)</f>
        <v>34</v>
      </c>
      <c r="L99" s="248"/>
      <c r="M99" s="246"/>
      <c r="N99" s="249">
        <f>SUM(N17:N98)</f>
        <v>3452363.2</v>
      </c>
      <c r="O99" s="248"/>
      <c r="P99" s="249">
        <f t="shared" ref="P99:T99" si="18">SUM(P17:P98)</f>
        <v>1903757.27</v>
      </c>
      <c r="Q99" s="248"/>
      <c r="R99" s="249">
        <f t="shared" si="18"/>
        <v>1395649.94</v>
      </c>
      <c r="S99" s="248"/>
      <c r="T99" s="249">
        <f t="shared" si="18"/>
        <v>1083638.72</v>
      </c>
      <c r="U99" s="291" t="s">
        <v>156</v>
      </c>
      <c r="V99" s="291" t="s">
        <v>156</v>
      </c>
      <c r="W99" s="291" t="s">
        <v>156</v>
      </c>
      <c r="X99" s="250" t="s">
        <v>156</v>
      </c>
      <c r="Y99" s="250" t="s">
        <v>156</v>
      </c>
      <c r="Z99" s="250" t="s">
        <v>156</v>
      </c>
      <c r="AA99" s="250" t="s">
        <v>156</v>
      </c>
      <c r="AB99" s="176">
        <f>SUM(AB17:AB42)</f>
        <v>1342</v>
      </c>
      <c r="AC99" s="171">
        <f>SUM(AC17:AC79)</f>
        <v>493758.06</v>
      </c>
      <c r="AD99" s="210">
        <f>SUM(AD17:AD98)</f>
        <v>13168</v>
      </c>
      <c r="AE99" s="195">
        <f t="shared" ref="AE99:AM99" si="19">SUM(AE17:AE98)</f>
        <v>1524549.46</v>
      </c>
      <c r="AF99" s="210">
        <f t="shared" si="19"/>
        <v>0</v>
      </c>
      <c r="AG99" s="195">
        <f t="shared" si="19"/>
        <v>0</v>
      </c>
      <c r="AH99" s="210">
        <f t="shared" si="19"/>
        <v>0</v>
      </c>
      <c r="AI99" s="195">
        <f t="shared" si="19"/>
        <v>0</v>
      </c>
      <c r="AJ99" s="176">
        <f>SUM(AJ17:AJ98)</f>
        <v>0</v>
      </c>
      <c r="AK99" s="175">
        <f>SUM(AK17:AK98)</f>
        <v>1524549.46</v>
      </c>
      <c r="AL99" s="213">
        <f t="shared" si="19"/>
        <v>2245</v>
      </c>
      <c r="AM99" s="214">
        <f t="shared" si="19"/>
        <v>504590.05000000005</v>
      </c>
      <c r="AN99" s="218">
        <f>SUM(AN17:AN98)</f>
        <v>12265</v>
      </c>
      <c r="AO99" s="219">
        <f>SUM(AO17:AO98)</f>
        <v>1495993.66</v>
      </c>
      <c r="AP99" s="286">
        <f>SUM(AP17:AP98)</f>
        <v>0</v>
      </c>
      <c r="AQ99" s="287">
        <f>SUM(AQ17:AQ98)</f>
        <v>0</v>
      </c>
      <c r="AR99" s="226" t="s">
        <v>156</v>
      </c>
      <c r="AS99" s="226">
        <f>SUM(AS17:AS98)</f>
        <v>0</v>
      </c>
      <c r="AT99" s="261">
        <f>SUM(AT17:AT98)</f>
        <v>4689</v>
      </c>
      <c r="AU99" s="228">
        <f>SUM(AU17:AU98)</f>
        <v>918076.37</v>
      </c>
      <c r="AV99" s="236">
        <f>SUM(AV17:AV98)</f>
        <v>4689</v>
      </c>
    </row>
    <row r="100" spans="1:48" s="336" customFormat="1" ht="2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29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336" customFormat="1" ht="21" hidden="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29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292" customFormat="1" ht="20.25" hidden="1">
      <c r="A102" s="301"/>
      <c r="B102" s="301"/>
      <c r="C102" s="301"/>
      <c r="D102" s="302"/>
      <c r="E102" s="301"/>
      <c r="F102" s="303" t="s">
        <v>205</v>
      </c>
      <c r="G102" s="303"/>
      <c r="H102" s="303" t="s">
        <v>208</v>
      </c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 t="s">
        <v>208</v>
      </c>
      <c r="AB102" s="303"/>
      <c r="AC102" s="303"/>
      <c r="AD102" s="303"/>
      <c r="AE102" s="303"/>
      <c r="AF102" s="303"/>
      <c r="AG102" s="303"/>
      <c r="AH102" s="303"/>
      <c r="AI102" s="303"/>
      <c r="AJ102" s="301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301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301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5" hidden="1" customHeight="1">
      <c r="A105" s="309"/>
      <c r="B105" s="309"/>
      <c r="C105" s="309"/>
      <c r="D105" s="302"/>
      <c r="E105" s="309"/>
      <c r="F105" s="310"/>
      <c r="G105" s="310"/>
      <c r="H105" s="308"/>
      <c r="I105" s="308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8"/>
      <c r="V105" s="311"/>
      <c r="AA105" s="311"/>
      <c r="AJ105" s="293"/>
      <c r="AK105" s="312"/>
      <c r="AL105" s="309"/>
      <c r="AM105" s="31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8" hidden="1" customHeight="1">
      <c r="A106" s="314" t="s">
        <v>12</v>
      </c>
      <c r="B106" s="314"/>
      <c r="C106" s="314"/>
      <c r="D106" s="315"/>
      <c r="E106" s="314"/>
      <c r="F106" s="316" t="s">
        <v>206</v>
      </c>
      <c r="G106" s="316"/>
      <c r="H106" s="736" t="s">
        <v>209</v>
      </c>
      <c r="I106" s="736"/>
      <c r="J106" s="736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8"/>
      <c r="V106" s="319"/>
      <c r="X106" s="303"/>
      <c r="Y106" s="316"/>
      <c r="Z106" s="316"/>
      <c r="AA106" s="320" t="s">
        <v>209</v>
      </c>
      <c r="AB106" s="316"/>
      <c r="AC106" s="316"/>
      <c r="AD106" s="316"/>
      <c r="AE106" s="316"/>
      <c r="AF106" s="316"/>
      <c r="AG106" s="316"/>
      <c r="AH106" s="316"/>
      <c r="AI106" s="316"/>
      <c r="AJ106" s="314"/>
      <c r="AK106" s="316"/>
      <c r="AL106" s="314"/>
      <c r="AM106" s="316"/>
      <c r="AN106" s="314"/>
      <c r="AO106" s="321"/>
      <c r="AP106" s="307"/>
      <c r="AQ106" s="302"/>
      <c r="AR106" s="308"/>
      <c r="AS106" s="308"/>
      <c r="AT106" s="302"/>
      <c r="AU106" s="302"/>
      <c r="AV106" s="302"/>
    </row>
    <row r="107" spans="1:48" s="62" customFormat="1" ht="18.75" hidden="1">
      <c r="A107" s="11"/>
      <c r="B107" s="11"/>
      <c r="C107" s="11"/>
      <c r="D107" s="255"/>
      <c r="E107" s="11"/>
      <c r="F107" s="322"/>
      <c r="G107" s="322"/>
      <c r="H107" s="322"/>
      <c r="I107" s="322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324"/>
      <c r="AK107" s="322"/>
      <c r="AL107" s="324"/>
      <c r="AM107" s="322"/>
      <c r="AN107" s="281"/>
      <c r="AO107" s="325"/>
      <c r="AP107" s="326"/>
      <c r="AQ107" s="458"/>
      <c r="AR107" s="255"/>
      <c r="AS107" s="255"/>
      <c r="AT107" s="458"/>
      <c r="AU107" s="458"/>
      <c r="AV107" s="458"/>
    </row>
    <row r="108" spans="1:48" s="103" customFormat="1" ht="57.75" hidden="1" customHeight="1">
      <c r="A108" s="11"/>
      <c r="B108" s="11"/>
      <c r="C108" s="11"/>
      <c r="D108" s="255"/>
      <c r="E108" s="720" t="s">
        <v>207</v>
      </c>
      <c r="F108" s="720"/>
      <c r="G108" s="327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9"/>
      <c r="W108" s="329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281"/>
      <c r="AK108" s="11"/>
      <c r="AL108" s="281"/>
      <c r="AM108" s="11"/>
      <c r="AN108" s="281"/>
      <c r="AP108" s="326"/>
      <c r="AQ108" s="458"/>
      <c r="AR108" s="255"/>
      <c r="AS108" s="255"/>
      <c r="AT108" s="458"/>
      <c r="AU108" s="458"/>
      <c r="AV108" s="458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9:F99"/>
    <mergeCell ref="H106:J106"/>
    <mergeCell ref="U14:U16"/>
    <mergeCell ref="V14:W15"/>
    <mergeCell ref="O15:P15"/>
    <mergeCell ref="Q15:R15"/>
    <mergeCell ref="S15:T15"/>
    <mergeCell ref="E108:F10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95"/>
  <sheetViews>
    <sheetView view="pageBreakPreview" topLeftCell="C10" zoomScale="70" zoomScaleSheetLayoutView="70" workbookViewId="0">
      <selection activeCell="AT29" sqref="AT29"/>
    </sheetView>
  </sheetViews>
  <sheetFormatPr defaultRowHeight="15.75"/>
  <cols>
    <col min="1" max="2" width="0" hidden="1" customWidth="1"/>
    <col min="3" max="3" width="3.5703125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464"/>
      <c r="AR1" s="255"/>
      <c r="AS1" s="255"/>
      <c r="AT1" s="464"/>
      <c r="AU1" s="464"/>
      <c r="AV1" s="46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6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6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258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464"/>
      <c r="AR12" s="255"/>
      <c r="AS12" s="255"/>
      <c r="AT12" s="465"/>
      <c r="AU12" s="465"/>
      <c r="AV12" s="46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257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259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465"/>
      <c r="D16" s="748"/>
      <c r="E16" s="685"/>
      <c r="F16" s="685"/>
      <c r="G16" s="202"/>
      <c r="H16" s="201"/>
      <c r="I16" s="201"/>
      <c r="J16" s="241"/>
      <c r="K16" s="241"/>
      <c r="L16" s="241"/>
      <c r="M16" s="460" t="s">
        <v>77</v>
      </c>
      <c r="N16" s="460" t="s">
        <v>78</v>
      </c>
      <c r="O16" s="460" t="s">
        <v>77</v>
      </c>
      <c r="P16" s="460" t="s">
        <v>78</v>
      </c>
      <c r="Q16" s="460" t="s">
        <v>77</v>
      </c>
      <c r="R16" s="460" t="s">
        <v>78</v>
      </c>
      <c r="S16" s="460" t="s">
        <v>77</v>
      </c>
      <c r="T16" s="460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61" t="s">
        <v>77</v>
      </c>
      <c r="AE16" s="461" t="s">
        <v>78</v>
      </c>
      <c r="AF16" s="205" t="s">
        <v>77</v>
      </c>
      <c r="AG16" s="205" t="s">
        <v>78</v>
      </c>
      <c r="AH16" s="461" t="s">
        <v>77</v>
      </c>
      <c r="AI16" s="461" t="s">
        <v>78</v>
      </c>
      <c r="AJ16" s="207" t="s">
        <v>96</v>
      </c>
      <c r="AK16" s="96" t="s">
        <v>19</v>
      </c>
      <c r="AL16" s="462" t="s">
        <v>96</v>
      </c>
      <c r="AM16" s="462" t="s">
        <v>19</v>
      </c>
      <c r="AN16" s="216" t="s">
        <v>96</v>
      </c>
      <c r="AO16" s="216" t="s">
        <v>19</v>
      </c>
      <c r="AP16" s="207" t="s">
        <v>96</v>
      </c>
      <c r="AQ16" s="462" t="s">
        <v>96</v>
      </c>
      <c r="AR16" s="462" t="s">
        <v>107</v>
      </c>
      <c r="AS16" s="462" t="s">
        <v>19</v>
      </c>
      <c r="AT16" s="463" t="s">
        <v>96</v>
      </c>
      <c r="AU16" s="463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0" si="0">J18*K18</f>
        <v>0</v>
      </c>
      <c r="N18" s="243">
        <f t="shared" ref="N18:N74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4" si="2">AC18+AK18-AM18</f>
        <v>1026.1600000000001</v>
      </c>
      <c r="AP18" s="232"/>
      <c r="AQ18" s="229"/>
      <c r="AR18" s="212">
        <v>1026.1600000000001</v>
      </c>
      <c r="AS18" s="212">
        <f t="shared" ref="AS18:AS79" si="3">AQ18*AR18</f>
        <v>0</v>
      </c>
      <c r="AT18" s="227">
        <v>1</v>
      </c>
      <c r="AU18" s="228">
        <f t="shared" ref="AU18:AU79" si="4">AT18*AR18</f>
        <v>1026.1600000000001</v>
      </c>
      <c r="AV18" s="279">
        <f t="shared" ref="AV18:AV74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0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6.25" customHeight="1">
      <c r="A20" s="59"/>
      <c r="B20" s="60"/>
      <c r="C20" s="60"/>
      <c r="D20" s="2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27">
        <v>2</v>
      </c>
      <c r="AU20" s="228">
        <f>AT20*AR20</f>
        <v>4040.8</v>
      </c>
      <c r="AV20" s="279">
        <f>AT20</f>
        <v>2</v>
      </c>
    </row>
    <row r="21" spans="1:48" s="62" customFormat="1" ht="29.25" customHeight="1">
      <c r="A21" s="59"/>
      <c r="B21" s="60"/>
      <c r="C21" s="60"/>
      <c r="D21" s="2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27">
        <v>4</v>
      </c>
      <c r="AU21" s="228">
        <f>AT21*AR21</f>
        <v>8081.6</v>
      </c>
      <c r="AV21" s="279">
        <f>AT21</f>
        <v>4</v>
      </c>
    </row>
    <row r="22" spans="1:48" s="62" customFormat="1" ht="24.75" customHeight="1">
      <c r="A22" s="59"/>
      <c r="B22" s="60"/>
      <c r="C22" s="60"/>
      <c r="D22" s="2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27">
        <v>1</v>
      </c>
      <c r="AU22" s="228">
        <f t="shared" si="4"/>
        <v>2094.4</v>
      </c>
      <c r="AV22" s="279">
        <f t="shared" si="5"/>
        <v>1</v>
      </c>
    </row>
    <row r="23" spans="1:48" s="89" customFormat="1" ht="33.75">
      <c r="A23" s="80"/>
      <c r="B23" s="81"/>
      <c r="C23" s="60"/>
      <c r="D23" s="2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27">
        <v>1</v>
      </c>
      <c r="AU23" s="228">
        <f t="shared" si="4"/>
        <v>2094.4</v>
      </c>
      <c r="AV23" s="279">
        <f t="shared" si="5"/>
        <v>1</v>
      </c>
    </row>
    <row r="24" spans="1:48" s="62" customFormat="1" ht="24" customHeight="1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</f>
        <v>4</v>
      </c>
      <c r="AU24" s="228">
        <f t="shared" si="4"/>
        <v>3147.6</v>
      </c>
      <c r="AV24" s="279">
        <f t="shared" si="5"/>
        <v>4</v>
      </c>
    </row>
    <row r="25" spans="1:48" s="62" customFormat="1" ht="24.75" customHeight="1">
      <c r="A25" s="59"/>
      <c r="B25" s="60"/>
      <c r="C25" s="427"/>
      <c r="D25" s="428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8" s="62" customFormat="1" ht="24.75" customHeight="1">
      <c r="A26" s="59"/>
      <c r="B26" s="60"/>
      <c r="C26" s="427"/>
      <c r="D26" s="428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8" s="62" customFormat="1" ht="31.5">
      <c r="A27" s="59"/>
      <c r="B27" s="60"/>
      <c r="C27" s="427"/>
      <c r="D27" s="428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8" s="62" customFormat="1" ht="31.5">
      <c r="A28" s="59"/>
      <c r="B28" s="60"/>
      <c r="C28" s="427"/>
      <c r="D28" s="428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8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v>90</v>
      </c>
      <c r="AU29" s="228">
        <f t="shared" si="4"/>
        <v>48169.8</v>
      </c>
      <c r="AV29" s="279">
        <f t="shared" si="5"/>
        <v>90</v>
      </c>
    </row>
    <row r="30" spans="1:48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15</v>
      </c>
      <c r="AU30" s="228"/>
      <c r="AV30" s="279">
        <v>15</v>
      </c>
    </row>
    <row r="31" spans="1:48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8" s="62" customFormat="1" ht="26.25" customHeight="1">
      <c r="A32" s="59"/>
      <c r="B32" s="60"/>
      <c r="C32" s="427"/>
      <c r="D32" s="428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8" s="62" customFormat="1" ht="26.25" customHeight="1">
      <c r="A33" s="59"/>
      <c r="B33" s="60"/>
      <c r="C33" s="427"/>
      <c r="D33" s="428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8" s="62" customFormat="1" ht="24" customHeight="1">
      <c r="A34" s="59"/>
      <c r="B34" s="60"/>
      <c r="C34" s="427"/>
      <c r="D34" s="428"/>
      <c r="E34" s="79" t="s">
        <v>24</v>
      </c>
      <c r="F34" s="485" t="s">
        <v>269</v>
      </c>
      <c r="G34" s="222" t="s">
        <v>152</v>
      </c>
      <c r="H34" s="115" t="s">
        <v>91</v>
      </c>
      <c r="I34" s="115" t="s">
        <v>91</v>
      </c>
      <c r="J34" s="115"/>
      <c r="K34" s="115"/>
      <c r="L34" s="276"/>
      <c r="M34" s="277">
        <f>J34*K34</f>
        <v>0</v>
      </c>
      <c r="N34" s="276">
        <f>L34*M34</f>
        <v>0</v>
      </c>
      <c r="O34" s="115"/>
      <c r="P34" s="276"/>
      <c r="Q34" s="115"/>
      <c r="R34" s="276"/>
      <c r="S34" s="115"/>
      <c r="T34" s="276"/>
      <c r="U34" s="203" t="s">
        <v>265</v>
      </c>
      <c r="V34" s="115">
        <v>1405</v>
      </c>
      <c r="W34" s="114">
        <v>43052</v>
      </c>
      <c r="X34" s="115"/>
      <c r="Y34" s="115"/>
      <c r="Z34" s="115"/>
      <c r="AA34" s="115"/>
      <c r="AB34" s="35">
        <v>120</v>
      </c>
      <c r="AC34" s="170">
        <v>58734</v>
      </c>
      <c r="AD34" s="208"/>
      <c r="AE34" s="170"/>
      <c r="AF34" s="208"/>
      <c r="AG34" s="170"/>
      <c r="AH34" s="208"/>
      <c r="AI34" s="170"/>
      <c r="AJ34" s="232">
        <v>140</v>
      </c>
      <c r="AK34" s="170">
        <f>AE34+AG34+AI34</f>
        <v>0</v>
      </c>
      <c r="AL34" s="270">
        <f>15+30+10+25+20+20</f>
        <v>120</v>
      </c>
      <c r="AM34" s="170">
        <f>7341.75+14683.5+4894.5+12236.25+9789</f>
        <v>48945</v>
      </c>
      <c r="AN34" s="270">
        <v>0</v>
      </c>
      <c r="AO34" s="170">
        <f>AC34+AK34-AM34</f>
        <v>9789</v>
      </c>
      <c r="AP34" s="233"/>
      <c r="AQ34" s="233"/>
      <c r="AR34" s="170">
        <v>489.45</v>
      </c>
      <c r="AS34" s="170">
        <f>AQ34*AR34</f>
        <v>0</v>
      </c>
      <c r="AT34" s="227">
        <v>140</v>
      </c>
      <c r="AU34" s="386">
        <f>AT34*AR34</f>
        <v>68523</v>
      </c>
      <c r="AV34" s="279">
        <f>AT34</f>
        <v>140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149" t="s">
        <v>44</v>
      </c>
      <c r="G35" s="222" t="s">
        <v>116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186</v>
      </c>
      <c r="V35" s="115">
        <v>1418</v>
      </c>
      <c r="W35" s="114">
        <v>43312</v>
      </c>
      <c r="X35" s="193" t="s">
        <v>184</v>
      </c>
      <c r="Y35" s="200">
        <v>43332</v>
      </c>
      <c r="Z35" s="193" t="s">
        <v>185</v>
      </c>
      <c r="AA35" s="200">
        <v>43320</v>
      </c>
      <c r="AB35" s="22">
        <v>0</v>
      </c>
      <c r="AC35" s="170">
        <v>0</v>
      </c>
      <c r="AD35" s="209">
        <v>55</v>
      </c>
      <c r="AE35" s="194">
        <v>10780</v>
      </c>
      <c r="AF35" s="209"/>
      <c r="AG35" s="194"/>
      <c r="AH35" s="209"/>
      <c r="AI35" s="194"/>
      <c r="AJ35" s="232"/>
      <c r="AK35" s="170">
        <f t="shared" si="6"/>
        <v>10780</v>
      </c>
      <c r="AL35" s="272">
        <v>0</v>
      </c>
      <c r="AM35" s="212">
        <v>0</v>
      </c>
      <c r="AN35" s="269">
        <v>55</v>
      </c>
      <c r="AO35" s="217">
        <v>0</v>
      </c>
      <c r="AP35" s="232"/>
      <c r="AQ35" s="229"/>
      <c r="AR35" s="212">
        <v>196</v>
      </c>
      <c r="AS35" s="212">
        <f t="shared" si="3"/>
        <v>0</v>
      </c>
      <c r="AT35" s="227">
        <f>55-15</f>
        <v>40</v>
      </c>
      <c r="AU35" s="228">
        <f t="shared" si="4"/>
        <v>7840</v>
      </c>
      <c r="AV35" s="279">
        <f t="shared" si="5"/>
        <v>40</v>
      </c>
    </row>
    <row r="36" spans="1:48" s="62" customFormat="1" ht="26.25" customHeight="1">
      <c r="A36" s="59"/>
      <c r="B36" s="60"/>
      <c r="C36" s="60"/>
      <c r="D36" s="22"/>
      <c r="E36" s="79"/>
      <c r="F36" s="149" t="s">
        <v>44</v>
      </c>
      <c r="G36" s="222" t="s">
        <v>116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/>
      <c r="V36" s="115"/>
      <c r="W36" s="114"/>
      <c r="X36" s="193"/>
      <c r="Y36" s="200"/>
      <c r="Z36" s="193"/>
      <c r="AA36" s="200"/>
      <c r="AB36" s="22"/>
      <c r="AC36" s="170"/>
      <c r="AD36" s="209"/>
      <c r="AE36" s="194"/>
      <c r="AF36" s="209"/>
      <c r="AG36" s="194"/>
      <c r="AH36" s="209"/>
      <c r="AI36" s="194"/>
      <c r="AJ36" s="232"/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15</v>
      </c>
      <c r="AU36" s="228"/>
      <c r="AV36" s="279">
        <v>15</v>
      </c>
    </row>
    <row r="37" spans="1:48" s="62" customFormat="1" ht="27" hidden="1" customHeight="1">
      <c r="A37" s="59"/>
      <c r="B37" s="60"/>
      <c r="C37" s="60"/>
      <c r="D37" s="22"/>
      <c r="E37" s="79" t="s">
        <v>24</v>
      </c>
      <c r="F37" s="51" t="s">
        <v>52</v>
      </c>
      <c r="G37" s="275" t="s">
        <v>111</v>
      </c>
      <c r="H37" s="115" t="s">
        <v>91</v>
      </c>
      <c r="I37" s="115" t="s">
        <v>91</v>
      </c>
      <c r="J37" s="115"/>
      <c r="K37" s="115"/>
      <c r="L37" s="276"/>
      <c r="M37" s="277">
        <f t="shared" si="0"/>
        <v>0</v>
      </c>
      <c r="N37" s="276">
        <f t="shared" si="1"/>
        <v>0</v>
      </c>
      <c r="O37" s="115"/>
      <c r="P37" s="276"/>
      <c r="Q37" s="115"/>
      <c r="R37" s="276"/>
      <c r="S37" s="115"/>
      <c r="T37" s="276"/>
      <c r="U37" s="278" t="s">
        <v>112</v>
      </c>
      <c r="V37" s="115">
        <v>1625</v>
      </c>
      <c r="W37" s="114">
        <v>43087</v>
      </c>
      <c r="X37" s="115" t="s">
        <v>109</v>
      </c>
      <c r="Y37" s="221">
        <v>43109</v>
      </c>
      <c r="Z37" s="115" t="s">
        <v>110</v>
      </c>
      <c r="AA37" s="221">
        <v>43111</v>
      </c>
      <c r="AB37" s="22">
        <v>0</v>
      </c>
      <c r="AC37" s="170">
        <v>0</v>
      </c>
      <c r="AD37" s="208">
        <v>5</v>
      </c>
      <c r="AE37" s="170">
        <v>1010.9</v>
      </c>
      <c r="AF37" s="208"/>
      <c r="AG37" s="170"/>
      <c r="AH37" s="208"/>
      <c r="AI37" s="170"/>
      <c r="AJ37" s="232"/>
      <c r="AK37" s="170">
        <f t="shared" si="6"/>
        <v>1010.9</v>
      </c>
      <c r="AL37" s="270">
        <v>5</v>
      </c>
      <c r="AM37" s="170">
        <v>1010.9</v>
      </c>
      <c r="AN37" s="270">
        <v>0</v>
      </c>
      <c r="AO37" s="170">
        <f t="shared" si="2"/>
        <v>0</v>
      </c>
      <c r="AP37" s="233"/>
      <c r="AQ37" s="233"/>
      <c r="AR37" s="170"/>
      <c r="AS37" s="170">
        <f t="shared" si="3"/>
        <v>0</v>
      </c>
      <c r="AT37" s="208">
        <v>0</v>
      </c>
      <c r="AU37" s="170">
        <f t="shared" si="4"/>
        <v>0</v>
      </c>
      <c r="AV37" s="233">
        <f t="shared" si="5"/>
        <v>0</v>
      </c>
    </row>
    <row r="38" spans="1:48" s="62" customFormat="1" ht="27" hidden="1" customHeight="1">
      <c r="A38" s="59"/>
      <c r="B38" s="60"/>
      <c r="C38" s="60"/>
      <c r="D38" s="22"/>
      <c r="E38" s="79" t="s">
        <v>24</v>
      </c>
      <c r="F38" s="51" t="s">
        <v>52</v>
      </c>
      <c r="G38" s="275" t="s">
        <v>111</v>
      </c>
      <c r="H38" s="115" t="s">
        <v>91</v>
      </c>
      <c r="I38" s="115" t="s">
        <v>91</v>
      </c>
      <c r="J38" s="115">
        <v>2016</v>
      </c>
      <c r="K38" s="115">
        <v>2</v>
      </c>
      <c r="L38" s="276">
        <v>199.06</v>
      </c>
      <c r="M38" s="277">
        <f t="shared" si="0"/>
        <v>4032</v>
      </c>
      <c r="N38" s="276">
        <f t="shared" si="1"/>
        <v>802609.92</v>
      </c>
      <c r="O38" s="115">
        <v>4130</v>
      </c>
      <c r="P38" s="276">
        <v>1054554.2</v>
      </c>
      <c r="Q38" s="115"/>
      <c r="R38" s="276"/>
      <c r="S38" s="115"/>
      <c r="T38" s="276"/>
      <c r="U38" s="278" t="s">
        <v>112</v>
      </c>
      <c r="V38" s="115">
        <v>1583</v>
      </c>
      <c r="W38" s="114">
        <v>43082</v>
      </c>
      <c r="X38" s="115" t="s">
        <v>113</v>
      </c>
      <c r="Y38" s="221">
        <v>43109</v>
      </c>
      <c r="Z38" s="115" t="s">
        <v>110</v>
      </c>
      <c r="AA38" s="221">
        <v>43111</v>
      </c>
      <c r="AB38" s="22">
        <v>0</v>
      </c>
      <c r="AC38" s="170">
        <v>0</v>
      </c>
      <c r="AD38" s="208">
        <v>490</v>
      </c>
      <c r="AE38" s="170">
        <v>99068.2</v>
      </c>
      <c r="AF38" s="208"/>
      <c r="AG38" s="170"/>
      <c r="AH38" s="208"/>
      <c r="AI38" s="170"/>
      <c r="AJ38" s="232"/>
      <c r="AK38" s="170">
        <f t="shared" si="6"/>
        <v>99068.2</v>
      </c>
      <c r="AL38" s="270">
        <f>135+130+130</f>
        <v>395</v>
      </c>
      <c r="AM38" s="170">
        <f>AL38*AR38</f>
        <v>79861.100000000006</v>
      </c>
      <c r="AN38" s="270">
        <v>95</v>
      </c>
      <c r="AO38" s="170">
        <f t="shared" si="2"/>
        <v>19207.099999999991</v>
      </c>
      <c r="AP38" s="233"/>
      <c r="AQ38" s="233"/>
      <c r="AR38" s="170">
        <v>202.18</v>
      </c>
      <c r="AS38" s="170">
        <f t="shared" si="3"/>
        <v>0</v>
      </c>
      <c r="AT38" s="233">
        <v>0</v>
      </c>
      <c r="AU38" s="386">
        <f t="shared" si="4"/>
        <v>0</v>
      </c>
      <c r="AV38" s="233">
        <f t="shared" si="5"/>
        <v>0</v>
      </c>
    </row>
    <row r="39" spans="1:48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1745</v>
      </c>
      <c r="W39" s="114">
        <v>43096</v>
      </c>
      <c r="X39" s="115" t="s">
        <v>117</v>
      </c>
      <c r="Y39" s="221">
        <v>43109</v>
      </c>
      <c r="Z39" s="115" t="s">
        <v>118</v>
      </c>
      <c r="AA39" s="221">
        <v>43133</v>
      </c>
      <c r="AB39" s="22">
        <v>0</v>
      </c>
      <c r="AC39" s="170">
        <v>0</v>
      </c>
      <c r="AD39" s="208">
        <v>195</v>
      </c>
      <c r="AE39" s="170">
        <v>39425.1</v>
      </c>
      <c r="AF39" s="208"/>
      <c r="AG39" s="170"/>
      <c r="AH39" s="208"/>
      <c r="AI39" s="170"/>
      <c r="AJ39" s="232"/>
      <c r="AK39" s="170">
        <f t="shared" si="6"/>
        <v>39425.1</v>
      </c>
      <c r="AL39" s="270">
        <v>0</v>
      </c>
      <c r="AM39" s="170">
        <v>0</v>
      </c>
      <c r="AN39" s="270">
        <v>195</v>
      </c>
      <c r="AO39" s="170">
        <f t="shared" si="2"/>
        <v>39425.1</v>
      </c>
      <c r="AP39" s="233"/>
      <c r="AQ39" s="233"/>
      <c r="AR39" s="170">
        <v>202.18</v>
      </c>
      <c r="AS39" s="170">
        <f t="shared" si="3"/>
        <v>0</v>
      </c>
      <c r="AT39" s="233">
        <f>160-140-20</f>
        <v>0</v>
      </c>
      <c r="AU39" s="386">
        <f t="shared" si="4"/>
        <v>0</v>
      </c>
      <c r="AV39" s="233">
        <f t="shared" si="5"/>
        <v>0</v>
      </c>
    </row>
    <row r="40" spans="1:48" s="62" customFormat="1" ht="26.25" customHeight="1">
      <c r="A40" s="59"/>
      <c r="B40" s="60"/>
      <c r="C40" s="60"/>
      <c r="D40" s="22"/>
      <c r="E40" s="79" t="s">
        <v>24</v>
      </c>
      <c r="F40" s="53" t="s">
        <v>65</v>
      </c>
      <c r="G40" s="222" t="s">
        <v>111</v>
      </c>
      <c r="H40" s="193" t="s">
        <v>91</v>
      </c>
      <c r="I40" s="193" t="s">
        <v>91</v>
      </c>
      <c r="J40" s="193"/>
      <c r="K40" s="193"/>
      <c r="L40" s="243"/>
      <c r="M40" s="242">
        <f t="shared" si="0"/>
        <v>0</v>
      </c>
      <c r="N40" s="243">
        <f t="shared" si="1"/>
        <v>0</v>
      </c>
      <c r="O40" s="193"/>
      <c r="P40" s="243"/>
      <c r="Q40" s="193"/>
      <c r="R40" s="243"/>
      <c r="S40" s="193"/>
      <c r="T40" s="243"/>
      <c r="U40" s="203" t="s">
        <v>133</v>
      </c>
      <c r="V40" s="115">
        <v>426</v>
      </c>
      <c r="W40" s="114">
        <v>43164</v>
      </c>
      <c r="X40" s="193" t="s">
        <v>141</v>
      </c>
      <c r="Y40" s="200">
        <v>43164</v>
      </c>
      <c r="Z40" s="193" t="s">
        <v>142</v>
      </c>
      <c r="AA40" s="200">
        <v>43230</v>
      </c>
      <c r="AB40" s="22">
        <v>0</v>
      </c>
      <c r="AC40" s="170">
        <v>0</v>
      </c>
      <c r="AD40" s="209">
        <v>170</v>
      </c>
      <c r="AE40" s="194">
        <v>34370.6</v>
      </c>
      <c r="AF40" s="209"/>
      <c r="AG40" s="194"/>
      <c r="AH40" s="209"/>
      <c r="AI40" s="194"/>
      <c r="AJ40" s="232"/>
      <c r="AK40" s="170">
        <f t="shared" si="6"/>
        <v>34370.6</v>
      </c>
      <c r="AL40" s="272">
        <v>0</v>
      </c>
      <c r="AM40" s="212">
        <v>0</v>
      </c>
      <c r="AN40" s="269">
        <v>170</v>
      </c>
      <c r="AO40" s="217">
        <f t="shared" si="2"/>
        <v>34370.6</v>
      </c>
      <c r="AP40" s="232"/>
      <c r="AQ40" s="229"/>
      <c r="AR40" s="212">
        <v>202.18</v>
      </c>
      <c r="AS40" s="212">
        <f t="shared" si="3"/>
        <v>0</v>
      </c>
      <c r="AT40" s="227">
        <v>60</v>
      </c>
      <c r="AU40" s="228">
        <f t="shared" si="4"/>
        <v>12130.800000000001</v>
      </c>
      <c r="AV40" s="279">
        <f t="shared" si="5"/>
        <v>60</v>
      </c>
    </row>
    <row r="41" spans="1:48" s="62" customFormat="1" ht="26.25" customHeight="1">
      <c r="A41" s="59"/>
      <c r="B41" s="60"/>
      <c r="C41" s="60"/>
      <c r="D41" s="22"/>
      <c r="E41" s="79" t="s">
        <v>24</v>
      </c>
      <c r="F41" s="53" t="s">
        <v>65</v>
      </c>
      <c r="G41" s="222" t="s">
        <v>111</v>
      </c>
      <c r="H41" s="193" t="s">
        <v>91</v>
      </c>
      <c r="I41" s="193" t="s">
        <v>91</v>
      </c>
      <c r="J41" s="193"/>
      <c r="K41" s="193"/>
      <c r="L41" s="243"/>
      <c r="M41" s="242">
        <f t="shared" si="0"/>
        <v>0</v>
      </c>
      <c r="N41" s="243">
        <f t="shared" si="1"/>
        <v>0</v>
      </c>
      <c r="O41" s="193"/>
      <c r="P41" s="243"/>
      <c r="Q41" s="193"/>
      <c r="R41" s="243"/>
      <c r="S41" s="193"/>
      <c r="T41" s="243"/>
      <c r="U41" s="203" t="s">
        <v>133</v>
      </c>
      <c r="V41" s="115">
        <v>234</v>
      </c>
      <c r="W41" s="114">
        <v>43143</v>
      </c>
      <c r="X41" s="193" t="s">
        <v>143</v>
      </c>
      <c r="Y41" s="200">
        <v>43164</v>
      </c>
      <c r="Z41" s="193"/>
      <c r="AA41" s="193"/>
      <c r="AB41" s="22">
        <v>0</v>
      </c>
      <c r="AC41" s="170">
        <v>0</v>
      </c>
      <c r="AD41" s="209">
        <v>320</v>
      </c>
      <c r="AE41" s="194">
        <v>64697.599999999999</v>
      </c>
      <c r="AF41" s="209"/>
      <c r="AG41" s="194"/>
      <c r="AH41" s="209"/>
      <c r="AI41" s="194"/>
      <c r="AJ41" s="232"/>
      <c r="AK41" s="170">
        <f t="shared" si="6"/>
        <v>64697.599999999999</v>
      </c>
      <c r="AL41" s="272">
        <v>0</v>
      </c>
      <c r="AM41" s="212">
        <v>0</v>
      </c>
      <c r="AN41" s="269">
        <v>320</v>
      </c>
      <c r="AO41" s="217">
        <f t="shared" si="2"/>
        <v>64697.599999999999</v>
      </c>
      <c r="AP41" s="232"/>
      <c r="AQ41" s="229"/>
      <c r="AR41" s="212">
        <v>202.18</v>
      </c>
      <c r="AS41" s="212">
        <f t="shared" si="3"/>
        <v>0</v>
      </c>
      <c r="AT41" s="227">
        <v>320</v>
      </c>
      <c r="AU41" s="228">
        <f t="shared" si="4"/>
        <v>64697.600000000006</v>
      </c>
      <c r="AV41" s="279">
        <f t="shared" si="5"/>
        <v>320</v>
      </c>
    </row>
    <row r="42" spans="1:48" s="62" customFormat="1" ht="26.25" customHeight="1">
      <c r="A42" s="59"/>
      <c r="B42" s="60"/>
      <c r="C42" s="60"/>
      <c r="D42" s="22"/>
      <c r="E42" s="79" t="s">
        <v>24</v>
      </c>
      <c r="F42" s="53" t="s">
        <v>65</v>
      </c>
      <c r="G42" s="222" t="s">
        <v>111</v>
      </c>
      <c r="H42" s="193" t="s">
        <v>91</v>
      </c>
      <c r="I42" s="193" t="s">
        <v>91</v>
      </c>
      <c r="J42" s="193"/>
      <c r="K42" s="193"/>
      <c r="L42" s="243"/>
      <c r="M42" s="242">
        <f t="shared" si="0"/>
        <v>0</v>
      </c>
      <c r="N42" s="243">
        <f t="shared" si="1"/>
        <v>0</v>
      </c>
      <c r="O42" s="193"/>
      <c r="P42" s="243"/>
      <c r="Q42" s="193"/>
      <c r="R42" s="243"/>
      <c r="S42" s="193"/>
      <c r="T42" s="243"/>
      <c r="U42" s="203" t="s">
        <v>132</v>
      </c>
      <c r="V42" s="115">
        <v>234</v>
      </c>
      <c r="W42" s="114">
        <v>43143</v>
      </c>
      <c r="X42" s="193" t="s">
        <v>143</v>
      </c>
      <c r="Y42" s="200">
        <v>43164</v>
      </c>
      <c r="Z42" s="193"/>
      <c r="AA42" s="193"/>
      <c r="AB42" s="22">
        <v>0</v>
      </c>
      <c r="AC42" s="170">
        <v>0</v>
      </c>
      <c r="AD42" s="209">
        <v>15</v>
      </c>
      <c r="AE42" s="194">
        <v>3032.7</v>
      </c>
      <c r="AF42" s="209"/>
      <c r="AG42" s="194"/>
      <c r="AH42" s="209"/>
      <c r="AI42" s="194"/>
      <c r="AJ42" s="232"/>
      <c r="AK42" s="170">
        <f t="shared" si="6"/>
        <v>3032.7</v>
      </c>
      <c r="AL42" s="272">
        <v>0</v>
      </c>
      <c r="AM42" s="212">
        <v>0</v>
      </c>
      <c r="AN42" s="269">
        <v>15</v>
      </c>
      <c r="AO42" s="217">
        <f t="shared" si="2"/>
        <v>3032.7</v>
      </c>
      <c r="AP42" s="232"/>
      <c r="AQ42" s="229"/>
      <c r="AR42" s="212">
        <v>202.18</v>
      </c>
      <c r="AS42" s="212">
        <f t="shared" si="3"/>
        <v>0</v>
      </c>
      <c r="AT42" s="227">
        <v>15</v>
      </c>
      <c r="AU42" s="228">
        <f t="shared" si="4"/>
        <v>3032.7000000000003</v>
      </c>
      <c r="AV42" s="279">
        <f t="shared" si="5"/>
        <v>15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356</v>
      </c>
      <c r="W43" s="114">
        <v>43159</v>
      </c>
      <c r="X43" s="193" t="s">
        <v>136</v>
      </c>
      <c r="Y43" s="200">
        <v>43164</v>
      </c>
      <c r="Z43" s="193"/>
      <c r="AA43" s="193"/>
      <c r="AB43" s="22">
        <v>0</v>
      </c>
      <c r="AC43" s="170">
        <v>0</v>
      </c>
      <c r="AD43" s="209">
        <v>170</v>
      </c>
      <c r="AE43" s="194">
        <v>34370.6</v>
      </c>
      <c r="AF43" s="209"/>
      <c r="AG43" s="194"/>
      <c r="AH43" s="209"/>
      <c r="AI43" s="194"/>
      <c r="AJ43" s="232"/>
      <c r="AK43" s="170">
        <f t="shared" si="6"/>
        <v>34370.6</v>
      </c>
      <c r="AL43" s="272">
        <v>0</v>
      </c>
      <c r="AM43" s="212">
        <v>0</v>
      </c>
      <c r="AN43" s="269">
        <v>170</v>
      </c>
      <c r="AO43" s="217">
        <f t="shared" si="2"/>
        <v>34370.6</v>
      </c>
      <c r="AP43" s="232"/>
      <c r="AQ43" s="229"/>
      <c r="AR43" s="212">
        <v>202.18</v>
      </c>
      <c r="AS43" s="212">
        <f t="shared" si="3"/>
        <v>0</v>
      </c>
      <c r="AT43" s="227">
        <v>170</v>
      </c>
      <c r="AU43" s="228">
        <f t="shared" si="4"/>
        <v>34370.6</v>
      </c>
      <c r="AV43" s="279">
        <f t="shared" si="5"/>
        <v>170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133</v>
      </c>
      <c r="V44" s="115">
        <v>260</v>
      </c>
      <c r="W44" s="114">
        <v>43145</v>
      </c>
      <c r="X44" s="193" t="s">
        <v>94</v>
      </c>
      <c r="Y44" s="200">
        <v>43164</v>
      </c>
      <c r="Z44" s="193"/>
      <c r="AA44" s="193"/>
      <c r="AB44" s="22">
        <v>0</v>
      </c>
      <c r="AC44" s="170">
        <v>0</v>
      </c>
      <c r="AD44" s="209">
        <v>665</v>
      </c>
      <c r="AE44" s="194">
        <v>134449.70000000001</v>
      </c>
      <c r="AF44" s="209"/>
      <c r="AG44" s="194"/>
      <c r="AH44" s="209"/>
      <c r="AI44" s="194"/>
      <c r="AJ44" s="232"/>
      <c r="AK44" s="170">
        <f t="shared" si="6"/>
        <v>134449.70000000001</v>
      </c>
      <c r="AL44" s="272">
        <v>0</v>
      </c>
      <c r="AM44" s="212">
        <v>0</v>
      </c>
      <c r="AN44" s="269">
        <v>665</v>
      </c>
      <c r="AO44" s="217">
        <f t="shared" si="2"/>
        <v>134449.70000000001</v>
      </c>
      <c r="AP44" s="232"/>
      <c r="AQ44" s="229"/>
      <c r="AR44" s="212">
        <v>202.18</v>
      </c>
      <c r="AS44" s="212">
        <f t="shared" si="3"/>
        <v>0</v>
      </c>
      <c r="AT44" s="227">
        <v>665</v>
      </c>
      <c r="AU44" s="228">
        <f t="shared" si="4"/>
        <v>134449.70000000001</v>
      </c>
      <c r="AV44" s="279">
        <f t="shared" si="5"/>
        <v>665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124</v>
      </c>
      <c r="V45" s="115">
        <v>68</v>
      </c>
      <c r="W45" s="114">
        <v>43116</v>
      </c>
      <c r="X45" s="193" t="s">
        <v>125</v>
      </c>
      <c r="Y45" s="200">
        <v>43130</v>
      </c>
      <c r="Z45" s="193"/>
      <c r="AA45" s="193"/>
      <c r="AB45" s="22">
        <v>0</v>
      </c>
      <c r="AC45" s="170">
        <v>0</v>
      </c>
      <c r="AD45" s="209">
        <v>335</v>
      </c>
      <c r="AE45" s="194">
        <v>67730.3</v>
      </c>
      <c r="AF45" s="209"/>
      <c r="AG45" s="194"/>
      <c r="AH45" s="209"/>
      <c r="AI45" s="194"/>
      <c r="AJ45" s="232"/>
      <c r="AK45" s="170">
        <f t="shared" si="6"/>
        <v>67730.3</v>
      </c>
      <c r="AL45" s="272">
        <v>0</v>
      </c>
      <c r="AM45" s="212">
        <v>0</v>
      </c>
      <c r="AN45" s="269">
        <v>335</v>
      </c>
      <c r="AO45" s="217">
        <f t="shared" si="2"/>
        <v>67730.3</v>
      </c>
      <c r="AP45" s="232"/>
      <c r="AQ45" s="229"/>
      <c r="AR45" s="212">
        <v>202.18</v>
      </c>
      <c r="AS45" s="212">
        <f t="shared" si="3"/>
        <v>0</v>
      </c>
      <c r="AT45" s="227">
        <v>155</v>
      </c>
      <c r="AU45" s="228">
        <f t="shared" si="4"/>
        <v>31337.9</v>
      </c>
      <c r="AV45" s="279">
        <f t="shared" si="5"/>
        <v>155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124</v>
      </c>
      <c r="V46" s="115">
        <v>135</v>
      </c>
      <c r="W46" s="114">
        <v>42761</v>
      </c>
      <c r="X46" s="193" t="s">
        <v>126</v>
      </c>
      <c r="Y46" s="200">
        <v>43130</v>
      </c>
      <c r="Z46" s="193"/>
      <c r="AA46" s="193"/>
      <c r="AB46" s="22">
        <v>0</v>
      </c>
      <c r="AC46" s="170">
        <v>0</v>
      </c>
      <c r="AD46" s="209">
        <v>155</v>
      </c>
      <c r="AE46" s="194">
        <v>31337.9</v>
      </c>
      <c r="AF46" s="209"/>
      <c r="AG46" s="194"/>
      <c r="AH46" s="209"/>
      <c r="AI46" s="194"/>
      <c r="AJ46" s="232"/>
      <c r="AK46" s="170">
        <f t="shared" si="6"/>
        <v>31337.9</v>
      </c>
      <c r="AL46" s="272">
        <v>0</v>
      </c>
      <c r="AM46" s="212">
        <v>0</v>
      </c>
      <c r="AN46" s="269">
        <v>155</v>
      </c>
      <c r="AO46" s="217">
        <f t="shared" si="2"/>
        <v>31337.9</v>
      </c>
      <c r="AP46" s="232"/>
      <c r="AQ46" s="229"/>
      <c r="AR46" s="212">
        <v>202.18</v>
      </c>
      <c r="AS46" s="212">
        <f t="shared" si="3"/>
        <v>0</v>
      </c>
      <c r="AT46" s="227">
        <v>155</v>
      </c>
      <c r="AU46" s="228">
        <f t="shared" si="4"/>
        <v>31337.9</v>
      </c>
      <c r="AV46" s="279">
        <f t="shared" si="5"/>
        <v>155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3" t="s">
        <v>65</v>
      </c>
      <c r="G47" s="222" t="s">
        <v>111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132</v>
      </c>
      <c r="V47" s="115">
        <v>108</v>
      </c>
      <c r="W47" s="114">
        <v>43119</v>
      </c>
      <c r="X47" s="193" t="s">
        <v>131</v>
      </c>
      <c r="Y47" s="200">
        <v>43130</v>
      </c>
      <c r="Z47" s="193"/>
      <c r="AA47" s="193"/>
      <c r="AB47" s="22">
        <v>0</v>
      </c>
      <c r="AC47" s="170">
        <v>0</v>
      </c>
      <c r="AD47" s="209">
        <v>340</v>
      </c>
      <c r="AE47" s="194">
        <v>68741.2</v>
      </c>
      <c r="AF47" s="209"/>
      <c r="AG47" s="194"/>
      <c r="AH47" s="209"/>
      <c r="AI47" s="194"/>
      <c r="AJ47" s="232"/>
      <c r="AK47" s="170">
        <f t="shared" si="6"/>
        <v>68741.2</v>
      </c>
      <c r="AL47" s="272">
        <v>0</v>
      </c>
      <c r="AM47" s="212">
        <v>0</v>
      </c>
      <c r="AN47" s="269">
        <v>340</v>
      </c>
      <c r="AO47" s="217">
        <f t="shared" si="2"/>
        <v>68741.2</v>
      </c>
      <c r="AP47" s="232"/>
      <c r="AQ47" s="229"/>
      <c r="AR47" s="212">
        <v>202.18</v>
      </c>
      <c r="AS47" s="212">
        <f t="shared" si="3"/>
        <v>0</v>
      </c>
      <c r="AT47" s="227">
        <v>340</v>
      </c>
      <c r="AU47" s="228">
        <f t="shared" si="4"/>
        <v>68741.2</v>
      </c>
      <c r="AV47" s="279">
        <f t="shared" si="5"/>
        <v>340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161</v>
      </c>
      <c r="V48" s="115">
        <v>659</v>
      </c>
      <c r="W48" s="114">
        <v>43201</v>
      </c>
      <c r="X48" s="193" t="s">
        <v>159</v>
      </c>
      <c r="Y48" s="200">
        <v>43213</v>
      </c>
      <c r="Z48" s="193" t="s">
        <v>160</v>
      </c>
      <c r="AA48" s="200">
        <v>43255</v>
      </c>
      <c r="AB48" s="22">
        <v>0</v>
      </c>
      <c r="AC48" s="170">
        <v>0</v>
      </c>
      <c r="AD48" s="209">
        <v>245</v>
      </c>
      <c r="AE48" s="194">
        <v>49534.1</v>
      </c>
      <c r="AF48" s="209"/>
      <c r="AG48" s="194"/>
      <c r="AH48" s="209"/>
      <c r="AI48" s="194"/>
      <c r="AJ48" s="232"/>
      <c r="AK48" s="170">
        <f t="shared" si="6"/>
        <v>49534.1</v>
      </c>
      <c r="AL48" s="272">
        <v>0</v>
      </c>
      <c r="AM48" s="212">
        <v>0</v>
      </c>
      <c r="AN48" s="269">
        <v>245</v>
      </c>
      <c r="AO48" s="217">
        <f t="shared" si="2"/>
        <v>49534.1</v>
      </c>
      <c r="AP48" s="232"/>
      <c r="AQ48" s="229"/>
      <c r="AR48" s="212">
        <v>202.18</v>
      </c>
      <c r="AS48" s="212">
        <f t="shared" si="3"/>
        <v>0</v>
      </c>
      <c r="AT48" s="227">
        <v>245</v>
      </c>
      <c r="AU48" s="228">
        <f t="shared" si="4"/>
        <v>49534.1</v>
      </c>
      <c r="AV48" s="279">
        <f t="shared" si="5"/>
        <v>245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161</v>
      </c>
      <c r="V49" s="115">
        <v>834</v>
      </c>
      <c r="W49" s="114">
        <v>43222</v>
      </c>
      <c r="X49" s="193" t="s">
        <v>162</v>
      </c>
      <c r="Y49" s="200">
        <v>43242</v>
      </c>
      <c r="Z49" s="193"/>
      <c r="AA49" s="193"/>
      <c r="AB49" s="22">
        <v>0</v>
      </c>
      <c r="AC49" s="170">
        <v>0</v>
      </c>
      <c r="AD49" s="209">
        <v>555</v>
      </c>
      <c r="AE49" s="194">
        <v>112209.9</v>
      </c>
      <c r="AF49" s="209"/>
      <c r="AG49" s="194"/>
      <c r="AH49" s="209"/>
      <c r="AI49" s="194"/>
      <c r="AJ49" s="232"/>
      <c r="AK49" s="170">
        <f t="shared" si="6"/>
        <v>112209.9</v>
      </c>
      <c r="AL49" s="272">
        <v>0</v>
      </c>
      <c r="AM49" s="212">
        <v>0</v>
      </c>
      <c r="AN49" s="269">
        <v>555</v>
      </c>
      <c r="AO49" s="217">
        <f t="shared" si="2"/>
        <v>112209.9</v>
      </c>
      <c r="AP49" s="232"/>
      <c r="AQ49" s="229"/>
      <c r="AR49" s="212">
        <v>202.18</v>
      </c>
      <c r="AS49" s="212">
        <f t="shared" si="3"/>
        <v>0</v>
      </c>
      <c r="AT49" s="227">
        <v>555</v>
      </c>
      <c r="AU49" s="228">
        <f t="shared" si="4"/>
        <v>112209.90000000001</v>
      </c>
      <c r="AV49" s="279">
        <f t="shared" si="5"/>
        <v>555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175</v>
      </c>
      <c r="V50" s="115">
        <v>1006</v>
      </c>
      <c r="W50" s="114">
        <v>43244</v>
      </c>
      <c r="X50" s="193" t="s">
        <v>179</v>
      </c>
      <c r="Y50" s="200">
        <v>43285</v>
      </c>
      <c r="Z50" s="193"/>
      <c r="AA50" s="193"/>
      <c r="AB50" s="22">
        <v>0</v>
      </c>
      <c r="AC50" s="170">
        <v>0</v>
      </c>
      <c r="AD50" s="209">
        <v>45</v>
      </c>
      <c r="AE50" s="194">
        <v>8820</v>
      </c>
      <c r="AF50" s="209"/>
      <c r="AG50" s="194"/>
      <c r="AH50" s="209"/>
      <c r="AI50" s="194"/>
      <c r="AJ50" s="232"/>
      <c r="AK50" s="170">
        <f t="shared" si="6"/>
        <v>8820</v>
      </c>
      <c r="AL50" s="272">
        <v>0</v>
      </c>
      <c r="AM50" s="212">
        <v>0</v>
      </c>
      <c r="AN50" s="269">
        <v>45</v>
      </c>
      <c r="AO50" s="217">
        <f t="shared" si="2"/>
        <v>8820</v>
      </c>
      <c r="AP50" s="232"/>
      <c r="AQ50" s="229"/>
      <c r="AR50" s="212">
        <v>196</v>
      </c>
      <c r="AS50" s="212">
        <f t="shared" si="3"/>
        <v>0</v>
      </c>
      <c r="AT50" s="227">
        <v>45</v>
      </c>
      <c r="AU50" s="228">
        <f t="shared" si="4"/>
        <v>8820</v>
      </c>
      <c r="AV50" s="279">
        <f t="shared" si="5"/>
        <v>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175</v>
      </c>
      <c r="V51" s="115">
        <v>1006</v>
      </c>
      <c r="W51" s="114">
        <v>43244</v>
      </c>
      <c r="X51" s="193" t="s">
        <v>179</v>
      </c>
      <c r="Y51" s="200">
        <v>43285</v>
      </c>
      <c r="Z51" s="193"/>
      <c r="AA51" s="193"/>
      <c r="AB51" s="22">
        <v>0</v>
      </c>
      <c r="AC51" s="170">
        <v>0</v>
      </c>
      <c r="AD51" s="209">
        <v>55</v>
      </c>
      <c r="AE51" s="194">
        <v>11119.9</v>
      </c>
      <c r="AF51" s="209"/>
      <c r="AG51" s="194"/>
      <c r="AH51" s="209"/>
      <c r="AI51" s="194"/>
      <c r="AJ51" s="232"/>
      <c r="AK51" s="170">
        <f t="shared" si="6"/>
        <v>11119.9</v>
      </c>
      <c r="AL51" s="272">
        <v>0</v>
      </c>
      <c r="AM51" s="212">
        <v>0</v>
      </c>
      <c r="AN51" s="269">
        <v>55</v>
      </c>
      <c r="AO51" s="217">
        <f t="shared" si="2"/>
        <v>11119.9</v>
      </c>
      <c r="AP51" s="232"/>
      <c r="AQ51" s="229"/>
      <c r="AR51" s="212">
        <v>202.18</v>
      </c>
      <c r="AS51" s="212">
        <f t="shared" si="3"/>
        <v>0</v>
      </c>
      <c r="AT51" s="227">
        <v>55</v>
      </c>
      <c r="AU51" s="228">
        <f t="shared" si="4"/>
        <v>11119.9</v>
      </c>
      <c r="AV51" s="279">
        <f t="shared" si="5"/>
        <v>55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22">
        <v>0</v>
      </c>
      <c r="AC52" s="170">
        <v>0</v>
      </c>
      <c r="AD52" s="209">
        <v>210</v>
      </c>
      <c r="AE52" s="194">
        <v>42457.8</v>
      </c>
      <c r="AF52" s="209"/>
      <c r="AG52" s="194"/>
      <c r="AH52" s="209"/>
      <c r="AI52" s="194"/>
      <c r="AJ52" s="232"/>
      <c r="AK52" s="170">
        <f t="shared" si="6"/>
        <v>42457.8</v>
      </c>
      <c r="AL52" s="272">
        <v>0</v>
      </c>
      <c r="AM52" s="212">
        <v>0</v>
      </c>
      <c r="AN52" s="269">
        <v>210</v>
      </c>
      <c r="AO52" s="217">
        <f t="shared" si="2"/>
        <v>42457.8</v>
      </c>
      <c r="AP52" s="232"/>
      <c r="AQ52" s="229"/>
      <c r="AR52" s="212">
        <v>202.18</v>
      </c>
      <c r="AS52" s="212">
        <f t="shared" si="3"/>
        <v>0</v>
      </c>
      <c r="AT52" s="227">
        <v>210</v>
      </c>
      <c r="AU52" s="228">
        <f t="shared" si="4"/>
        <v>42457.8</v>
      </c>
      <c r="AV52" s="279">
        <f t="shared" si="5"/>
        <v>210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161</v>
      </c>
      <c r="V53" s="115">
        <v>1053</v>
      </c>
      <c r="W53" s="114">
        <v>43255</v>
      </c>
      <c r="X53" s="193" t="s">
        <v>177</v>
      </c>
      <c r="Y53" s="200">
        <v>43285</v>
      </c>
      <c r="Z53" s="193" t="s">
        <v>178</v>
      </c>
      <c r="AA53" s="200">
        <v>43269</v>
      </c>
      <c r="AB53" s="22">
        <v>0</v>
      </c>
      <c r="AC53" s="170">
        <v>0</v>
      </c>
      <c r="AD53" s="209">
        <v>105</v>
      </c>
      <c r="AE53" s="194">
        <v>21228.9</v>
      </c>
      <c r="AF53" s="209"/>
      <c r="AG53" s="194"/>
      <c r="AH53" s="209"/>
      <c r="AI53" s="194"/>
      <c r="AJ53" s="232"/>
      <c r="AK53" s="170">
        <f t="shared" si="6"/>
        <v>21228.9</v>
      </c>
      <c r="AL53" s="272">
        <v>0</v>
      </c>
      <c r="AM53" s="212">
        <v>0</v>
      </c>
      <c r="AN53" s="269">
        <v>105</v>
      </c>
      <c r="AO53" s="217">
        <f t="shared" si="2"/>
        <v>21228.9</v>
      </c>
      <c r="AP53" s="232"/>
      <c r="AQ53" s="229"/>
      <c r="AR53" s="212">
        <v>202.18</v>
      </c>
      <c r="AS53" s="212">
        <f t="shared" si="3"/>
        <v>0</v>
      </c>
      <c r="AT53" s="227">
        <v>105</v>
      </c>
      <c r="AU53" s="228">
        <f t="shared" si="4"/>
        <v>21228.9</v>
      </c>
      <c r="AV53" s="279">
        <f t="shared" si="5"/>
        <v>105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187</v>
      </c>
      <c r="V54" s="115">
        <v>1418</v>
      </c>
      <c r="W54" s="114">
        <v>43312</v>
      </c>
      <c r="X54" s="193" t="s">
        <v>184</v>
      </c>
      <c r="Y54" s="200">
        <v>43332</v>
      </c>
      <c r="Z54" s="193" t="s">
        <v>185</v>
      </c>
      <c r="AA54" s="200">
        <v>43320</v>
      </c>
      <c r="AB54" s="22">
        <v>0</v>
      </c>
      <c r="AC54" s="170">
        <v>0</v>
      </c>
      <c r="AD54" s="209">
        <v>30</v>
      </c>
      <c r="AE54" s="194">
        <v>5880</v>
      </c>
      <c r="AF54" s="209"/>
      <c r="AG54" s="194"/>
      <c r="AH54" s="209"/>
      <c r="AI54" s="194"/>
      <c r="AJ54" s="232"/>
      <c r="AK54" s="170">
        <f t="shared" si="6"/>
        <v>5880</v>
      </c>
      <c r="AL54" s="272">
        <v>0</v>
      </c>
      <c r="AM54" s="212">
        <v>0</v>
      </c>
      <c r="AN54" s="269">
        <v>30</v>
      </c>
      <c r="AO54" s="217">
        <v>0</v>
      </c>
      <c r="AP54" s="232"/>
      <c r="AQ54" s="229"/>
      <c r="AR54" s="212">
        <v>196</v>
      </c>
      <c r="AS54" s="212">
        <f t="shared" si="3"/>
        <v>0</v>
      </c>
      <c r="AT54" s="227">
        <v>30</v>
      </c>
      <c r="AU54" s="228">
        <f t="shared" si="4"/>
        <v>5880</v>
      </c>
      <c r="AV54" s="279">
        <f t="shared" si="5"/>
        <v>30</v>
      </c>
    </row>
    <row r="55" spans="1:48" s="62" customFormat="1" ht="26.25" customHeight="1">
      <c r="A55" s="59"/>
      <c r="B55" s="60"/>
      <c r="C55" s="60"/>
      <c r="D55" s="22"/>
      <c r="E55" s="79"/>
      <c r="F55" s="53" t="s">
        <v>65</v>
      </c>
      <c r="G55" s="222" t="s">
        <v>111</v>
      </c>
      <c r="H55" s="193"/>
      <c r="I55" s="193"/>
      <c r="J55" s="193"/>
      <c r="K55" s="193"/>
      <c r="L55" s="243"/>
      <c r="M55" s="242"/>
      <c r="N55" s="243"/>
      <c r="O55" s="193"/>
      <c r="P55" s="243"/>
      <c r="Q55" s="193"/>
      <c r="R55" s="243"/>
      <c r="S55" s="193"/>
      <c r="T55" s="243"/>
      <c r="U55" s="203"/>
      <c r="V55" s="115"/>
      <c r="W55" s="114"/>
      <c r="X55" s="193"/>
      <c r="Y55" s="200"/>
      <c r="Z55" s="193"/>
      <c r="AA55" s="200"/>
      <c r="AB55" s="22"/>
      <c r="AC55" s="170"/>
      <c r="AD55" s="209"/>
      <c r="AE55" s="194"/>
      <c r="AF55" s="209"/>
      <c r="AG55" s="194"/>
      <c r="AH55" s="209"/>
      <c r="AI55" s="194"/>
      <c r="AJ55" s="232"/>
      <c r="AK55" s="170"/>
      <c r="AL55" s="272"/>
      <c r="AM55" s="212"/>
      <c r="AN55" s="269"/>
      <c r="AO55" s="217"/>
      <c r="AP55" s="232"/>
      <c r="AQ55" s="229"/>
      <c r="AR55" s="212"/>
      <c r="AS55" s="212"/>
      <c r="AT55" s="227">
        <v>30</v>
      </c>
      <c r="AU55" s="228"/>
      <c r="AV55" s="279">
        <f t="shared" si="5"/>
        <v>30</v>
      </c>
    </row>
    <row r="56" spans="1:48" s="62" customFormat="1" ht="26.25" hidden="1" customHeight="1">
      <c r="A56" s="59"/>
      <c r="B56" s="60"/>
      <c r="C56" s="60"/>
      <c r="D56" s="22"/>
      <c r="E56" s="79" t="s">
        <v>24</v>
      </c>
      <c r="F56" s="51" t="s">
        <v>249</v>
      </c>
      <c r="G56" s="275" t="s">
        <v>146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>
        <v>250</v>
      </c>
      <c r="P56" s="276">
        <v>66042.58</v>
      </c>
      <c r="Q56" s="115"/>
      <c r="R56" s="276"/>
      <c r="S56" s="115"/>
      <c r="T56" s="276"/>
      <c r="U56" s="278" t="s">
        <v>181</v>
      </c>
      <c r="V56" s="115">
        <v>1405</v>
      </c>
      <c r="W56" s="114">
        <v>43052</v>
      </c>
      <c r="X56" s="115" t="s">
        <v>182</v>
      </c>
      <c r="Y56" s="221">
        <v>43201</v>
      </c>
      <c r="Z56" s="115"/>
      <c r="AA56" s="115"/>
      <c r="AB56" s="22">
        <v>0</v>
      </c>
      <c r="AC56" s="170">
        <v>0</v>
      </c>
      <c r="AD56" s="208">
        <v>125</v>
      </c>
      <c r="AE56" s="170">
        <v>26255</v>
      </c>
      <c r="AF56" s="208"/>
      <c r="AG56" s="170"/>
      <c r="AH56" s="208"/>
      <c r="AI56" s="170"/>
      <c r="AJ56" s="232"/>
      <c r="AK56" s="170">
        <f t="shared" si="6"/>
        <v>26255</v>
      </c>
      <c r="AL56" s="270">
        <f>63+62</f>
        <v>125</v>
      </c>
      <c r="AM56" s="170">
        <v>26255</v>
      </c>
      <c r="AN56" s="270">
        <v>0</v>
      </c>
      <c r="AO56" s="170">
        <f t="shared" si="2"/>
        <v>0</v>
      </c>
      <c r="AP56" s="233"/>
      <c r="AQ56" s="233"/>
      <c r="AR56" s="170">
        <v>210.04</v>
      </c>
      <c r="AS56" s="170">
        <f t="shared" si="3"/>
        <v>0</v>
      </c>
      <c r="AT56" s="208">
        <v>0</v>
      </c>
      <c r="AU56" s="170">
        <f t="shared" si="4"/>
        <v>0</v>
      </c>
      <c r="AV56" s="233">
        <f t="shared" si="5"/>
        <v>0</v>
      </c>
    </row>
    <row r="57" spans="1:48" s="62" customFormat="1" ht="26.25" hidden="1" customHeight="1">
      <c r="A57" s="59"/>
      <c r="B57" s="60"/>
      <c r="C57" s="60"/>
      <c r="D57" s="22"/>
      <c r="E57" s="79" t="s">
        <v>24</v>
      </c>
      <c r="F57" s="51" t="s">
        <v>249</v>
      </c>
      <c r="G57" s="275" t="s">
        <v>146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145</v>
      </c>
      <c r="V57" s="115">
        <v>1381</v>
      </c>
      <c r="W57" s="114">
        <v>43047</v>
      </c>
      <c r="X57" s="115" t="s">
        <v>144</v>
      </c>
      <c r="Y57" s="221">
        <v>43201</v>
      </c>
      <c r="Z57" s="115"/>
      <c r="AA57" s="115"/>
      <c r="AB57" s="22">
        <v>0</v>
      </c>
      <c r="AC57" s="170">
        <v>0</v>
      </c>
      <c r="AD57" s="208">
        <v>80</v>
      </c>
      <c r="AE57" s="170">
        <v>16803.2</v>
      </c>
      <c r="AF57" s="208"/>
      <c r="AG57" s="170"/>
      <c r="AH57" s="208"/>
      <c r="AI57" s="170"/>
      <c r="AJ57" s="232"/>
      <c r="AK57" s="170">
        <f t="shared" si="6"/>
        <v>16803.2</v>
      </c>
      <c r="AL57" s="270">
        <v>80</v>
      </c>
      <c r="AM57" s="170">
        <v>16803.2</v>
      </c>
      <c r="AN57" s="270">
        <v>0</v>
      </c>
      <c r="AO57" s="170">
        <f t="shared" si="2"/>
        <v>0</v>
      </c>
      <c r="AP57" s="233"/>
      <c r="AQ57" s="233"/>
      <c r="AR57" s="170">
        <f>AM57/AL57</f>
        <v>210.04000000000002</v>
      </c>
      <c r="AS57" s="170">
        <f t="shared" si="3"/>
        <v>0</v>
      </c>
      <c r="AT57" s="208">
        <v>0</v>
      </c>
      <c r="AU57" s="170">
        <f t="shared" si="4"/>
        <v>0</v>
      </c>
      <c r="AV57" s="233">
        <f t="shared" si="5"/>
        <v>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148</v>
      </c>
      <c r="V58" s="115">
        <v>546</v>
      </c>
      <c r="W58" s="114">
        <v>43182</v>
      </c>
      <c r="X58" s="115" t="s">
        <v>149</v>
      </c>
      <c r="Y58" s="221">
        <v>43201</v>
      </c>
      <c r="Z58" s="115" t="s">
        <v>147</v>
      </c>
      <c r="AA58" s="221">
        <v>43252</v>
      </c>
      <c r="AB58" s="22">
        <v>0</v>
      </c>
      <c r="AC58" s="170">
        <v>0</v>
      </c>
      <c r="AD58" s="208">
        <v>10</v>
      </c>
      <c r="AE58" s="170">
        <v>2038.7</v>
      </c>
      <c r="AF58" s="208"/>
      <c r="AG58" s="170"/>
      <c r="AH58" s="208"/>
      <c r="AI58" s="170"/>
      <c r="AJ58" s="232"/>
      <c r="AK58" s="170">
        <f t="shared" si="6"/>
        <v>2038.7</v>
      </c>
      <c r="AL58" s="270">
        <v>10</v>
      </c>
      <c r="AM58" s="170">
        <v>2038.7</v>
      </c>
      <c r="AN58" s="270">
        <v>0</v>
      </c>
      <c r="AO58" s="170">
        <f t="shared" si="2"/>
        <v>0</v>
      </c>
      <c r="AP58" s="233"/>
      <c r="AQ58" s="233"/>
      <c r="AR58" s="170">
        <f>AM58/AL58</f>
        <v>203.87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162" t="s">
        <v>68</v>
      </c>
      <c r="G59" s="222" t="s">
        <v>146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148</v>
      </c>
      <c r="V59" s="115">
        <v>834</v>
      </c>
      <c r="W59" s="114">
        <v>43222</v>
      </c>
      <c r="X59" s="193" t="s">
        <v>162</v>
      </c>
      <c r="Y59" s="200">
        <v>43242</v>
      </c>
      <c r="Z59" s="193"/>
      <c r="AA59" s="193"/>
      <c r="AB59" s="22">
        <v>0</v>
      </c>
      <c r="AC59" s="170">
        <v>0</v>
      </c>
      <c r="AD59" s="209">
        <v>10</v>
      </c>
      <c r="AE59" s="194">
        <v>2100.4</v>
      </c>
      <c r="AF59" s="209"/>
      <c r="AG59" s="194"/>
      <c r="AH59" s="209"/>
      <c r="AI59" s="194"/>
      <c r="AJ59" s="232"/>
      <c r="AK59" s="170">
        <f t="shared" si="6"/>
        <v>2100.4</v>
      </c>
      <c r="AL59" s="272">
        <v>0</v>
      </c>
      <c r="AM59" s="212">
        <v>0</v>
      </c>
      <c r="AN59" s="269">
        <v>10</v>
      </c>
      <c r="AO59" s="217">
        <f t="shared" si="2"/>
        <v>2100.4</v>
      </c>
      <c r="AP59" s="232"/>
      <c r="AQ59" s="229"/>
      <c r="AR59" s="212">
        <v>210.04</v>
      </c>
      <c r="AS59" s="212">
        <f t="shared" si="3"/>
        <v>0</v>
      </c>
      <c r="AT59" s="227">
        <v>10</v>
      </c>
      <c r="AU59" s="228">
        <f t="shared" si="4"/>
        <v>2100.4</v>
      </c>
      <c r="AV59" s="279">
        <f t="shared" si="5"/>
        <v>10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162" t="s">
        <v>68</v>
      </c>
      <c r="G60" s="222" t="s">
        <v>146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148</v>
      </c>
      <c r="V60" s="115">
        <v>1006</v>
      </c>
      <c r="W60" s="114">
        <v>43244</v>
      </c>
      <c r="X60" s="193" t="s">
        <v>179</v>
      </c>
      <c r="Y60" s="200">
        <v>43285</v>
      </c>
      <c r="Z60" s="193"/>
      <c r="AA60" s="193"/>
      <c r="AB60" s="22">
        <v>0</v>
      </c>
      <c r="AC60" s="170">
        <v>0</v>
      </c>
      <c r="AD60" s="209">
        <v>5</v>
      </c>
      <c r="AE60" s="194">
        <v>1019.35</v>
      </c>
      <c r="AF60" s="209"/>
      <c r="AG60" s="194"/>
      <c r="AH60" s="209"/>
      <c r="AI60" s="194"/>
      <c r="AJ60" s="232"/>
      <c r="AK60" s="170">
        <f t="shared" si="6"/>
        <v>1019.35</v>
      </c>
      <c r="AL60" s="272">
        <v>0</v>
      </c>
      <c r="AM60" s="212">
        <v>0</v>
      </c>
      <c r="AN60" s="269">
        <v>5</v>
      </c>
      <c r="AO60" s="217">
        <f t="shared" si="2"/>
        <v>1019.35</v>
      </c>
      <c r="AP60" s="232"/>
      <c r="AQ60" s="229"/>
      <c r="AR60" s="212">
        <v>203.87</v>
      </c>
      <c r="AS60" s="212">
        <f t="shared" si="3"/>
        <v>0</v>
      </c>
      <c r="AT60" s="227">
        <v>5</v>
      </c>
      <c r="AU60" s="228">
        <f t="shared" si="4"/>
        <v>1019.35</v>
      </c>
      <c r="AV60" s="279">
        <f t="shared" si="5"/>
        <v>5</v>
      </c>
    </row>
    <row r="61" spans="1:48" s="62" customFormat="1" ht="25.5" hidden="1" customHeight="1">
      <c r="A61" s="59"/>
      <c r="B61" s="60"/>
      <c r="C61" s="60"/>
      <c r="D61" s="22"/>
      <c r="E61" s="79" t="s">
        <v>24</v>
      </c>
      <c r="F61" s="51" t="s">
        <v>247</v>
      </c>
      <c r="G61" s="275" t="s">
        <v>114</v>
      </c>
      <c r="H61" s="115" t="s">
        <v>91</v>
      </c>
      <c r="I61" s="115" t="s">
        <v>91</v>
      </c>
      <c r="J61" s="115">
        <v>360</v>
      </c>
      <c r="K61" s="115">
        <v>1</v>
      </c>
      <c r="L61" s="276">
        <v>303.16000000000003</v>
      </c>
      <c r="M61" s="277">
        <f t="shared" si="0"/>
        <v>360</v>
      </c>
      <c r="N61" s="276">
        <f t="shared" si="1"/>
        <v>109137.60000000001</v>
      </c>
      <c r="O61" s="115">
        <v>180</v>
      </c>
      <c r="P61" s="276">
        <v>49667.4</v>
      </c>
      <c r="Q61" s="115">
        <v>360</v>
      </c>
      <c r="R61" s="276">
        <v>107470.8</v>
      </c>
      <c r="S61" s="115">
        <v>90</v>
      </c>
      <c r="T61" s="276">
        <v>27284.400000000001</v>
      </c>
      <c r="U61" s="278" t="s">
        <v>115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8</v>
      </c>
      <c r="AE61" s="170">
        <v>2388</v>
      </c>
      <c r="AF61" s="208"/>
      <c r="AG61" s="170"/>
      <c r="AH61" s="208"/>
      <c r="AI61" s="170"/>
      <c r="AJ61" s="232"/>
      <c r="AK61" s="170">
        <f t="shared" si="6"/>
        <v>2388</v>
      </c>
      <c r="AL61" s="270">
        <v>0</v>
      </c>
      <c r="AM61" s="170">
        <v>0</v>
      </c>
      <c r="AN61" s="270">
        <v>8</v>
      </c>
      <c r="AO61" s="170">
        <f t="shared" si="2"/>
        <v>2388</v>
      </c>
      <c r="AP61" s="233"/>
      <c r="AQ61" s="233"/>
      <c r="AR61" s="170">
        <v>298.5</v>
      </c>
      <c r="AS61" s="170">
        <f t="shared" si="3"/>
        <v>0</v>
      </c>
      <c r="AT61" s="233">
        <f>8-8</f>
        <v>0</v>
      </c>
      <c r="AU61" s="386">
        <f t="shared" si="4"/>
        <v>0</v>
      </c>
      <c r="AV61" s="233">
        <f t="shared" si="5"/>
        <v>0</v>
      </c>
    </row>
    <row r="62" spans="1:48" s="62" customFormat="1" ht="25.5" hidden="1" customHeight="1">
      <c r="A62" s="59"/>
      <c r="B62" s="60"/>
      <c r="C62" s="60"/>
      <c r="D62" s="22"/>
      <c r="E62" s="79" t="s">
        <v>24</v>
      </c>
      <c r="F62" s="51" t="s">
        <v>247</v>
      </c>
      <c r="G62" s="275" t="s">
        <v>114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137</v>
      </c>
      <c r="V62" s="115">
        <v>427</v>
      </c>
      <c r="W62" s="114">
        <v>43164</v>
      </c>
      <c r="X62" s="115" t="s">
        <v>138</v>
      </c>
      <c r="Y62" s="221">
        <v>43164</v>
      </c>
      <c r="Z62" s="115"/>
      <c r="AA62" s="115"/>
      <c r="AB62" s="22">
        <v>0</v>
      </c>
      <c r="AC62" s="170">
        <v>0</v>
      </c>
      <c r="AD62" s="208">
        <v>34</v>
      </c>
      <c r="AE62" s="170">
        <v>10149</v>
      </c>
      <c r="AF62" s="208"/>
      <c r="AG62" s="170"/>
      <c r="AH62" s="208"/>
      <c r="AI62" s="170"/>
      <c r="AJ62" s="232"/>
      <c r="AK62" s="170">
        <f t="shared" si="6"/>
        <v>10149</v>
      </c>
      <c r="AL62" s="270">
        <v>0</v>
      </c>
      <c r="AM62" s="170">
        <v>0</v>
      </c>
      <c r="AN62" s="270">
        <v>34</v>
      </c>
      <c r="AO62" s="170">
        <f t="shared" si="2"/>
        <v>10149</v>
      </c>
      <c r="AP62" s="233"/>
      <c r="AQ62" s="233"/>
      <c r="AR62" s="170">
        <v>298.5</v>
      </c>
      <c r="AS62" s="170">
        <f t="shared" si="3"/>
        <v>0</v>
      </c>
      <c r="AT62" s="233">
        <f>34-34</f>
        <v>0</v>
      </c>
      <c r="AU62" s="386">
        <f t="shared" si="4"/>
        <v>0</v>
      </c>
      <c r="AV62" s="233">
        <f t="shared" si="5"/>
        <v>0</v>
      </c>
    </row>
    <row r="63" spans="1:48" s="62" customFormat="1" ht="25.5" customHeight="1">
      <c r="A63" s="59"/>
      <c r="B63" s="60"/>
      <c r="C63" s="60"/>
      <c r="D63" s="22"/>
      <c r="E63" s="79" t="s">
        <v>24</v>
      </c>
      <c r="F63" s="140" t="s">
        <v>55</v>
      </c>
      <c r="G63" s="222" t="s">
        <v>114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153</v>
      </c>
      <c r="V63" s="115">
        <v>613</v>
      </c>
      <c r="W63" s="114">
        <v>43193</v>
      </c>
      <c r="X63" s="193">
        <v>97</v>
      </c>
      <c r="Y63" s="200">
        <v>43202</v>
      </c>
      <c r="Z63" s="193" t="s">
        <v>154</v>
      </c>
      <c r="AA63" s="200">
        <v>43214</v>
      </c>
      <c r="AB63" s="22">
        <v>0</v>
      </c>
      <c r="AC63" s="170">
        <v>0</v>
      </c>
      <c r="AD63" s="209">
        <v>270</v>
      </c>
      <c r="AE63" s="194">
        <v>80595</v>
      </c>
      <c r="AF63" s="209"/>
      <c r="AG63" s="194"/>
      <c r="AH63" s="209"/>
      <c r="AI63" s="194"/>
      <c r="AJ63" s="232"/>
      <c r="AK63" s="170">
        <f t="shared" si="6"/>
        <v>80595</v>
      </c>
      <c r="AL63" s="272">
        <v>0</v>
      </c>
      <c r="AM63" s="212">
        <v>0</v>
      </c>
      <c r="AN63" s="269">
        <v>270</v>
      </c>
      <c r="AO63" s="217">
        <f t="shared" si="2"/>
        <v>80595</v>
      </c>
      <c r="AP63" s="232"/>
      <c r="AQ63" s="229"/>
      <c r="AR63" s="212">
        <v>298.5</v>
      </c>
      <c r="AS63" s="212">
        <f t="shared" si="3"/>
        <v>0</v>
      </c>
      <c r="AT63" s="227">
        <f>270-16-60</f>
        <v>194</v>
      </c>
      <c r="AU63" s="228">
        <f t="shared" si="4"/>
        <v>57909</v>
      </c>
      <c r="AV63" s="279">
        <f t="shared" si="5"/>
        <v>194</v>
      </c>
    </row>
    <row r="64" spans="1:48" s="62" customFormat="1" ht="25.5" customHeight="1">
      <c r="A64" s="59"/>
      <c r="B64" s="60"/>
      <c r="C64" s="60"/>
      <c r="D64" s="22"/>
      <c r="E64" s="79" t="s">
        <v>24</v>
      </c>
      <c r="F64" s="140" t="s">
        <v>55</v>
      </c>
      <c r="G64" s="222" t="s">
        <v>114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115</v>
      </c>
      <c r="V64" s="115">
        <v>612</v>
      </c>
      <c r="W64" s="114">
        <v>43193</v>
      </c>
      <c r="X64" s="193">
        <v>97</v>
      </c>
      <c r="Y64" s="200">
        <v>43202</v>
      </c>
      <c r="Z64" s="193" t="s">
        <v>155</v>
      </c>
      <c r="AA64" s="200">
        <v>43214</v>
      </c>
      <c r="AB64" s="22">
        <v>0</v>
      </c>
      <c r="AC64" s="170">
        <v>0</v>
      </c>
      <c r="AD64" s="209">
        <v>40</v>
      </c>
      <c r="AE64" s="194">
        <v>11940</v>
      </c>
      <c r="AF64" s="209"/>
      <c r="AG64" s="194"/>
      <c r="AH64" s="209"/>
      <c r="AI64" s="194"/>
      <c r="AJ64" s="232"/>
      <c r="AK64" s="170">
        <f t="shared" si="6"/>
        <v>11940</v>
      </c>
      <c r="AL64" s="272">
        <v>0</v>
      </c>
      <c r="AM64" s="212">
        <v>0</v>
      </c>
      <c r="AN64" s="269">
        <v>40</v>
      </c>
      <c r="AO64" s="217">
        <f t="shared" si="2"/>
        <v>11940</v>
      </c>
      <c r="AP64" s="232"/>
      <c r="AQ64" s="229"/>
      <c r="AR64" s="212">
        <v>298.5</v>
      </c>
      <c r="AS64" s="212">
        <f t="shared" si="3"/>
        <v>0</v>
      </c>
      <c r="AT64" s="227">
        <v>40</v>
      </c>
      <c r="AU64" s="228">
        <f t="shared" si="4"/>
        <v>11940</v>
      </c>
      <c r="AV64" s="279">
        <f t="shared" si="5"/>
        <v>40</v>
      </c>
    </row>
    <row r="65" spans="1:48" s="62" customFormat="1" ht="25.5" customHeight="1">
      <c r="A65" s="59"/>
      <c r="B65" s="60"/>
      <c r="C65" s="60"/>
      <c r="D65" s="22"/>
      <c r="E65" s="79"/>
      <c r="F65" s="140" t="s">
        <v>55</v>
      </c>
      <c r="G65" s="222" t="s">
        <v>114</v>
      </c>
      <c r="H65" s="193"/>
      <c r="I65" s="193"/>
      <c r="J65" s="193"/>
      <c r="K65" s="193"/>
      <c r="L65" s="243"/>
      <c r="M65" s="242"/>
      <c r="N65" s="243"/>
      <c r="O65" s="193"/>
      <c r="P65" s="243"/>
      <c r="Q65" s="193"/>
      <c r="R65" s="243"/>
      <c r="S65" s="193"/>
      <c r="T65" s="243"/>
      <c r="U65" s="203" t="s">
        <v>244</v>
      </c>
      <c r="V65" s="115"/>
      <c r="W65" s="114"/>
      <c r="X65" s="193"/>
      <c r="Y65" s="200"/>
      <c r="Z65" s="193"/>
      <c r="AA65" s="200"/>
      <c r="AB65" s="22"/>
      <c r="AC65" s="170"/>
      <c r="AD65" s="209"/>
      <c r="AE65" s="194"/>
      <c r="AF65" s="209"/>
      <c r="AG65" s="194"/>
      <c r="AH65" s="209"/>
      <c r="AI65" s="194"/>
      <c r="AJ65" s="232"/>
      <c r="AK65" s="170"/>
      <c r="AL65" s="272"/>
      <c r="AM65" s="212"/>
      <c r="AN65" s="269"/>
      <c r="AO65" s="217"/>
      <c r="AP65" s="232"/>
      <c r="AQ65" s="229"/>
      <c r="AR65" s="212"/>
      <c r="AS65" s="212"/>
      <c r="AT65" s="227">
        <v>6</v>
      </c>
      <c r="AU65" s="228"/>
      <c r="AV65" s="279">
        <f t="shared" si="5"/>
        <v>6</v>
      </c>
    </row>
    <row r="66" spans="1:48" s="62" customFormat="1" ht="25.5" hidden="1" customHeight="1">
      <c r="A66" s="59"/>
      <c r="B66" s="60"/>
      <c r="C66" s="60"/>
      <c r="D66" s="22"/>
      <c r="E66" s="79" t="s">
        <v>24</v>
      </c>
      <c r="F66" s="51" t="s">
        <v>250</v>
      </c>
      <c r="G66" s="275" t="s">
        <v>140</v>
      </c>
      <c r="H66" s="115" t="s">
        <v>91</v>
      </c>
      <c r="I66" s="115" t="s">
        <v>91</v>
      </c>
      <c r="J66" s="115">
        <v>1080</v>
      </c>
      <c r="K66" s="115">
        <v>2</v>
      </c>
      <c r="L66" s="276">
        <v>304.58999999999997</v>
      </c>
      <c r="M66" s="277">
        <f t="shared" si="0"/>
        <v>2160</v>
      </c>
      <c r="N66" s="276">
        <f t="shared" si="1"/>
        <v>657914.39999999991</v>
      </c>
      <c r="O66" s="115">
        <v>180</v>
      </c>
      <c r="P66" s="276">
        <v>49908.6</v>
      </c>
      <c r="Q66" s="115">
        <v>1080</v>
      </c>
      <c r="R66" s="276">
        <v>323838</v>
      </c>
      <c r="S66" s="115">
        <v>602</v>
      </c>
      <c r="T66" s="276">
        <v>183363.18</v>
      </c>
      <c r="U66" s="278" t="s">
        <v>139</v>
      </c>
      <c r="V66" s="115">
        <v>427</v>
      </c>
      <c r="W66" s="114">
        <v>43164</v>
      </c>
      <c r="X66" s="115" t="s">
        <v>138</v>
      </c>
      <c r="Y66" s="221">
        <v>43164</v>
      </c>
      <c r="Z66" s="115"/>
      <c r="AA66" s="115"/>
      <c r="AB66" s="22">
        <v>0</v>
      </c>
      <c r="AC66" s="170">
        <v>0</v>
      </c>
      <c r="AD66" s="208">
        <v>56</v>
      </c>
      <c r="AE66" s="170">
        <v>16794.400000000001</v>
      </c>
      <c r="AF66" s="208"/>
      <c r="AG66" s="170"/>
      <c r="AH66" s="208"/>
      <c r="AI66" s="170"/>
      <c r="AJ66" s="232"/>
      <c r="AK66" s="170">
        <f t="shared" si="6"/>
        <v>16794.400000000001</v>
      </c>
      <c r="AL66" s="270">
        <v>0</v>
      </c>
      <c r="AM66" s="170">
        <v>0</v>
      </c>
      <c r="AN66" s="270">
        <v>56</v>
      </c>
      <c r="AO66" s="170">
        <f t="shared" si="2"/>
        <v>16794.400000000001</v>
      </c>
      <c r="AP66" s="233"/>
      <c r="AQ66" s="233"/>
      <c r="AR66" s="170">
        <v>299.89999999999998</v>
      </c>
      <c r="AS66" s="170">
        <f t="shared" si="3"/>
        <v>0</v>
      </c>
      <c r="AT66" s="233">
        <f>18-18</f>
        <v>0</v>
      </c>
      <c r="AU66" s="386">
        <f t="shared" si="4"/>
        <v>0</v>
      </c>
      <c r="AV66" s="279">
        <f t="shared" si="5"/>
        <v>0</v>
      </c>
    </row>
    <row r="67" spans="1:48" s="62" customFormat="1" ht="25.5" customHeight="1">
      <c r="A67" s="59"/>
      <c r="B67" s="60"/>
      <c r="C67" s="427"/>
      <c r="D67" s="428"/>
      <c r="E67" s="79"/>
      <c r="F67" s="140" t="s">
        <v>55</v>
      </c>
      <c r="G67" s="222" t="s">
        <v>114</v>
      </c>
      <c r="H67" s="115"/>
      <c r="I67" s="115"/>
      <c r="J67" s="115"/>
      <c r="K67" s="115"/>
      <c r="L67" s="276"/>
      <c r="M67" s="277"/>
      <c r="N67" s="276"/>
      <c r="O67" s="115"/>
      <c r="P67" s="276"/>
      <c r="Q67" s="115"/>
      <c r="R67" s="276"/>
      <c r="S67" s="115"/>
      <c r="T67" s="276"/>
      <c r="U67" s="203" t="s">
        <v>262</v>
      </c>
      <c r="V67" s="115"/>
      <c r="W67" s="114"/>
      <c r="X67" s="115"/>
      <c r="Y67" s="221"/>
      <c r="Z67" s="115"/>
      <c r="AA67" s="115"/>
      <c r="AB67" s="22"/>
      <c r="AC67" s="170"/>
      <c r="AD67" s="208"/>
      <c r="AE67" s="170"/>
      <c r="AF67" s="208"/>
      <c r="AG67" s="170"/>
      <c r="AH67" s="208"/>
      <c r="AI67" s="170"/>
      <c r="AJ67" s="232">
        <v>234</v>
      </c>
      <c r="AK67" s="170"/>
      <c r="AL67" s="270"/>
      <c r="AM67" s="170"/>
      <c r="AN67" s="270"/>
      <c r="AO67" s="170"/>
      <c r="AP67" s="233"/>
      <c r="AQ67" s="233"/>
      <c r="AR67" s="170"/>
      <c r="AS67" s="170"/>
      <c r="AT67" s="227">
        <v>234</v>
      </c>
      <c r="AU67" s="386"/>
      <c r="AV67" s="279">
        <f t="shared" si="5"/>
        <v>234</v>
      </c>
    </row>
    <row r="68" spans="1:48" s="62" customFormat="1" ht="25.5" customHeight="1">
      <c r="A68" s="59"/>
      <c r="B68" s="60"/>
      <c r="C68" s="427"/>
      <c r="D68" s="428"/>
      <c r="E68" s="79"/>
      <c r="F68" s="140" t="s">
        <v>55</v>
      </c>
      <c r="G68" s="222" t="s">
        <v>114</v>
      </c>
      <c r="H68" s="115"/>
      <c r="I68" s="115"/>
      <c r="J68" s="115"/>
      <c r="K68" s="115"/>
      <c r="L68" s="276"/>
      <c r="M68" s="277"/>
      <c r="N68" s="276"/>
      <c r="O68" s="115"/>
      <c r="P68" s="276"/>
      <c r="Q68" s="115"/>
      <c r="R68" s="276"/>
      <c r="S68" s="115"/>
      <c r="T68" s="276"/>
      <c r="U68" s="203" t="s">
        <v>263</v>
      </c>
      <c r="V68" s="115"/>
      <c r="W68" s="114"/>
      <c r="X68" s="115"/>
      <c r="Y68" s="221"/>
      <c r="Z68" s="115"/>
      <c r="AA68" s="115"/>
      <c r="AB68" s="22"/>
      <c r="AC68" s="170"/>
      <c r="AD68" s="208"/>
      <c r="AE68" s="170"/>
      <c r="AF68" s="208"/>
      <c r="AG68" s="170"/>
      <c r="AH68" s="208"/>
      <c r="AI68" s="170"/>
      <c r="AJ68" s="232">
        <v>14</v>
      </c>
      <c r="AK68" s="170"/>
      <c r="AL68" s="270"/>
      <c r="AM68" s="170"/>
      <c r="AN68" s="270"/>
      <c r="AO68" s="170"/>
      <c r="AP68" s="233"/>
      <c r="AQ68" s="233"/>
      <c r="AR68" s="170"/>
      <c r="AS68" s="170"/>
      <c r="AT68" s="227">
        <v>14</v>
      </c>
      <c r="AU68" s="386"/>
      <c r="AV68" s="279">
        <f t="shared" si="5"/>
        <v>14</v>
      </c>
    </row>
    <row r="69" spans="1:48" s="62" customFormat="1" ht="25.5" customHeight="1">
      <c r="A69" s="59"/>
      <c r="B69" s="60"/>
      <c r="C69" s="427"/>
      <c r="D69" s="428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 t="shared" si="5"/>
        <v>36</v>
      </c>
    </row>
    <row r="70" spans="1:48" s="62" customFormat="1" ht="25.5" customHeight="1">
      <c r="A70" s="59"/>
      <c r="B70" s="60"/>
      <c r="C70" s="60"/>
      <c r="D70" s="22"/>
      <c r="E70" s="79" t="s">
        <v>24</v>
      </c>
      <c r="F70" s="173" t="s">
        <v>64</v>
      </c>
      <c r="G70" s="222" t="s">
        <v>140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157</v>
      </c>
      <c r="V70" s="115">
        <v>605</v>
      </c>
      <c r="W70" s="114">
        <v>43193</v>
      </c>
      <c r="X70" s="193">
        <v>97</v>
      </c>
      <c r="Y70" s="200">
        <v>43202</v>
      </c>
      <c r="Z70" s="193" t="s">
        <v>158</v>
      </c>
      <c r="AA70" s="200">
        <v>43216</v>
      </c>
      <c r="AB70" s="22">
        <v>0</v>
      </c>
      <c r="AC70" s="170">
        <v>0</v>
      </c>
      <c r="AD70" s="209">
        <v>510</v>
      </c>
      <c r="AE70" s="194">
        <v>152949</v>
      </c>
      <c r="AF70" s="209"/>
      <c r="AG70" s="194"/>
      <c r="AH70" s="209"/>
      <c r="AI70" s="194"/>
      <c r="AJ70" s="232"/>
      <c r="AK70" s="170">
        <f t="shared" si="6"/>
        <v>152949</v>
      </c>
      <c r="AL70" s="272">
        <v>0</v>
      </c>
      <c r="AM70" s="212">
        <v>0</v>
      </c>
      <c r="AN70" s="269">
        <v>510</v>
      </c>
      <c r="AO70" s="217">
        <f t="shared" si="2"/>
        <v>152949</v>
      </c>
      <c r="AP70" s="232"/>
      <c r="AQ70" s="229"/>
      <c r="AR70" s="212">
        <v>299.89999999999998</v>
      </c>
      <c r="AS70" s="212">
        <f t="shared" si="3"/>
        <v>0</v>
      </c>
      <c r="AT70" s="227">
        <f>510-42-60-60</f>
        <v>348</v>
      </c>
      <c r="AU70" s="228">
        <f t="shared" si="4"/>
        <v>104365.2</v>
      </c>
      <c r="AV70" s="279">
        <f t="shared" si="5"/>
        <v>348</v>
      </c>
    </row>
    <row r="71" spans="1:48" s="62" customFormat="1" ht="25.5" customHeight="1">
      <c r="A71" s="59"/>
      <c r="B71" s="60"/>
      <c r="C71" s="60"/>
      <c r="D71" s="22"/>
      <c r="E71" s="79"/>
      <c r="F71" s="173" t="s">
        <v>64</v>
      </c>
      <c r="G71" s="222" t="s">
        <v>140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 t="s">
        <v>244</v>
      </c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2"/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368</v>
      </c>
      <c r="AU71" s="228"/>
      <c r="AV71" s="279">
        <f t="shared" si="5"/>
        <v>368</v>
      </c>
    </row>
    <row r="72" spans="1:48" s="62" customFormat="1" ht="25.5" customHeight="1">
      <c r="A72" s="59"/>
      <c r="B72" s="60"/>
      <c r="C72" s="427"/>
      <c r="D72" s="428"/>
      <c r="E72" s="79"/>
      <c r="F72" s="173" t="s">
        <v>64</v>
      </c>
      <c r="G72" s="222" t="s">
        <v>140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 t="s">
        <v>264</v>
      </c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2">
        <v>224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224</v>
      </c>
      <c r="AU72" s="228"/>
      <c r="AV72" s="279">
        <f t="shared" si="5"/>
        <v>224</v>
      </c>
    </row>
    <row r="73" spans="1:48" s="62" customFormat="1" ht="25.5" customHeight="1">
      <c r="A73" s="59"/>
      <c r="B73" s="60"/>
      <c r="C73" s="427"/>
      <c r="D73" s="428"/>
      <c r="E73" s="79"/>
      <c r="F73" s="173" t="s">
        <v>64</v>
      </c>
      <c r="G73" s="222" t="s">
        <v>140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 t="s">
        <v>244</v>
      </c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>
        <v>176</v>
      </c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176</v>
      </c>
      <c r="AU73" s="228"/>
      <c r="AV73" s="279">
        <f t="shared" si="5"/>
        <v>176</v>
      </c>
    </row>
    <row r="74" spans="1:48" s="62" customFormat="1" ht="31.5">
      <c r="A74" s="59"/>
      <c r="B74" s="60"/>
      <c r="C74" s="60"/>
      <c r="D74" s="22"/>
      <c r="E74" s="79" t="s">
        <v>24</v>
      </c>
      <c r="F74" s="150" t="s">
        <v>57</v>
      </c>
      <c r="G74" s="222" t="s">
        <v>121</v>
      </c>
      <c r="H74" s="193" t="s">
        <v>91</v>
      </c>
      <c r="I74" s="193" t="s">
        <v>91</v>
      </c>
      <c r="J74" s="193">
        <v>480</v>
      </c>
      <c r="K74" s="193">
        <v>3</v>
      </c>
      <c r="L74" s="243">
        <v>19.399999999999999</v>
      </c>
      <c r="M74" s="242">
        <f>J74*K74</f>
        <v>1440</v>
      </c>
      <c r="N74" s="243">
        <f t="shared" si="1"/>
        <v>27935.999999999996</v>
      </c>
      <c r="O74" s="193">
        <v>6637</v>
      </c>
      <c r="P74" s="243">
        <v>108249.47</v>
      </c>
      <c r="Q74" s="193">
        <v>4000</v>
      </c>
      <c r="R74" s="243">
        <v>89720</v>
      </c>
      <c r="S74" s="193"/>
      <c r="T74" s="243"/>
      <c r="U74" s="203" t="s">
        <v>120</v>
      </c>
      <c r="V74" s="115">
        <v>1745</v>
      </c>
      <c r="W74" s="114">
        <v>43096</v>
      </c>
      <c r="X74" s="193" t="s">
        <v>117</v>
      </c>
      <c r="Y74" s="200">
        <v>43109</v>
      </c>
      <c r="Z74" s="193" t="s">
        <v>118</v>
      </c>
      <c r="AA74" s="200">
        <v>43133</v>
      </c>
      <c r="AB74" s="22">
        <v>0</v>
      </c>
      <c r="AC74" s="170">
        <v>0</v>
      </c>
      <c r="AD74" s="209">
        <v>6637</v>
      </c>
      <c r="AE74" s="194">
        <v>102541.65</v>
      </c>
      <c r="AF74" s="209"/>
      <c r="AG74" s="194"/>
      <c r="AH74" s="209"/>
      <c r="AI74" s="194"/>
      <c r="AJ74" s="232"/>
      <c r="AK74" s="170">
        <f t="shared" si="6"/>
        <v>102541.65</v>
      </c>
      <c r="AL74" s="272">
        <f>180+290</f>
        <v>470</v>
      </c>
      <c r="AM74" s="212">
        <f>AL74*AR74</f>
        <v>7261.5</v>
      </c>
      <c r="AN74" s="269">
        <v>6167</v>
      </c>
      <c r="AO74" s="217">
        <f t="shared" si="2"/>
        <v>95280.15</v>
      </c>
      <c r="AP74" s="232"/>
      <c r="AQ74" s="229"/>
      <c r="AR74" s="212">
        <v>15.45</v>
      </c>
      <c r="AS74" s="212">
        <f t="shared" si="3"/>
        <v>0</v>
      </c>
      <c r="AT74" s="227">
        <f>5867-550-40-4737-460-30</f>
        <v>50</v>
      </c>
      <c r="AU74" s="228">
        <f t="shared" si="4"/>
        <v>772.5</v>
      </c>
      <c r="AV74" s="279">
        <f t="shared" si="5"/>
        <v>50</v>
      </c>
    </row>
    <row r="75" spans="1:48" s="62" customFormat="1" ht="31.5">
      <c r="A75" s="59"/>
      <c r="B75" s="60"/>
      <c r="C75" s="60"/>
      <c r="D75" s="22"/>
      <c r="E75" s="79" t="s">
        <v>24</v>
      </c>
      <c r="F75" s="150" t="s">
        <v>57</v>
      </c>
      <c r="G75" s="222" t="s">
        <v>121</v>
      </c>
      <c r="H75" s="193" t="s">
        <v>91</v>
      </c>
      <c r="I75" s="193" t="s">
        <v>91</v>
      </c>
      <c r="J75" s="193"/>
      <c r="K75" s="193"/>
      <c r="L75" s="243"/>
      <c r="M75" s="242">
        <f t="shared" ref="M75:M76" si="7">J75*K75</f>
        <v>0</v>
      </c>
      <c r="N75" s="243">
        <f t="shared" ref="N75:N79" si="8">L75*M75</f>
        <v>0</v>
      </c>
      <c r="O75" s="193"/>
      <c r="P75" s="243"/>
      <c r="Q75" s="193"/>
      <c r="R75" s="243"/>
      <c r="S75" s="193"/>
      <c r="T75" s="243"/>
      <c r="U75" s="203" t="s">
        <v>173</v>
      </c>
      <c r="V75" s="115">
        <v>834</v>
      </c>
      <c r="W75" s="114">
        <v>43222</v>
      </c>
      <c r="X75" s="193" t="s">
        <v>162</v>
      </c>
      <c r="Y75" s="200">
        <v>43242</v>
      </c>
      <c r="Z75" s="193"/>
      <c r="AA75" s="193"/>
      <c r="AB75" s="22">
        <v>0</v>
      </c>
      <c r="AC75" s="170">
        <v>0</v>
      </c>
      <c r="AD75" s="209">
        <v>144</v>
      </c>
      <c r="AE75" s="194">
        <v>2142.7199999999998</v>
      </c>
      <c r="AF75" s="209"/>
      <c r="AG75" s="194"/>
      <c r="AH75" s="209"/>
      <c r="AI75" s="194"/>
      <c r="AJ75" s="232"/>
      <c r="AK75" s="170">
        <f t="shared" si="6"/>
        <v>2142.7199999999998</v>
      </c>
      <c r="AL75" s="272">
        <v>0</v>
      </c>
      <c r="AM75" s="212">
        <v>0</v>
      </c>
      <c r="AN75" s="269">
        <v>144</v>
      </c>
      <c r="AO75" s="217">
        <f t="shared" ref="AO75" si="9">AC75+AK75-AM75</f>
        <v>2142.7199999999998</v>
      </c>
      <c r="AP75" s="232"/>
      <c r="AQ75" s="229"/>
      <c r="AR75" s="212">
        <v>14.88</v>
      </c>
      <c r="AS75" s="212">
        <f t="shared" si="3"/>
        <v>0</v>
      </c>
      <c r="AT75" s="227">
        <v>144</v>
      </c>
      <c r="AU75" s="228">
        <f t="shared" si="4"/>
        <v>2142.7200000000003</v>
      </c>
      <c r="AV75" s="279">
        <f t="shared" ref="AV75:AV84" si="10">AT75</f>
        <v>144</v>
      </c>
    </row>
    <row r="76" spans="1:48" s="62" customFormat="1" ht="31.5">
      <c r="A76" s="59"/>
      <c r="B76" s="60"/>
      <c r="C76" s="60"/>
      <c r="D76" s="22"/>
      <c r="E76" s="79" t="s">
        <v>24</v>
      </c>
      <c r="F76" s="150" t="s">
        <v>57</v>
      </c>
      <c r="G76" s="222" t="s">
        <v>121</v>
      </c>
      <c r="H76" s="193" t="s">
        <v>91</v>
      </c>
      <c r="I76" s="193" t="s">
        <v>91</v>
      </c>
      <c r="J76" s="193"/>
      <c r="K76" s="193"/>
      <c r="L76" s="243"/>
      <c r="M76" s="242">
        <f t="shared" si="7"/>
        <v>0</v>
      </c>
      <c r="N76" s="243">
        <f t="shared" si="8"/>
        <v>0</v>
      </c>
      <c r="O76" s="193"/>
      <c r="P76" s="243"/>
      <c r="Q76" s="193"/>
      <c r="R76" s="243"/>
      <c r="S76" s="193"/>
      <c r="T76" s="243"/>
      <c r="U76" s="203" t="s">
        <v>183</v>
      </c>
      <c r="V76" s="115">
        <v>1418</v>
      </c>
      <c r="W76" s="114">
        <v>43312</v>
      </c>
      <c r="X76" s="193" t="s">
        <v>184</v>
      </c>
      <c r="Y76" s="200">
        <v>43332</v>
      </c>
      <c r="Z76" s="193" t="s">
        <v>185</v>
      </c>
      <c r="AA76" s="200">
        <v>43320</v>
      </c>
      <c r="AB76" s="22">
        <v>0</v>
      </c>
      <c r="AC76" s="170">
        <v>0</v>
      </c>
      <c r="AD76" s="209">
        <v>76</v>
      </c>
      <c r="AE76" s="194">
        <v>1130.8800000000001</v>
      </c>
      <c r="AF76" s="209"/>
      <c r="AG76" s="194"/>
      <c r="AH76" s="209"/>
      <c r="AI76" s="194"/>
      <c r="AJ76" s="232"/>
      <c r="AK76" s="170">
        <f t="shared" si="6"/>
        <v>1130.8800000000001</v>
      </c>
      <c r="AL76" s="272">
        <v>0</v>
      </c>
      <c r="AM76" s="212">
        <v>0</v>
      </c>
      <c r="AN76" s="269">
        <v>76</v>
      </c>
      <c r="AO76" s="217">
        <v>0</v>
      </c>
      <c r="AP76" s="232"/>
      <c r="AQ76" s="229"/>
      <c r="AR76" s="212">
        <v>14.88</v>
      </c>
      <c r="AS76" s="212">
        <f t="shared" si="3"/>
        <v>0</v>
      </c>
      <c r="AT76" s="227">
        <v>76</v>
      </c>
      <c r="AU76" s="228">
        <f t="shared" si="4"/>
        <v>1130.8800000000001</v>
      </c>
      <c r="AV76" s="279">
        <f t="shared" si="10"/>
        <v>76</v>
      </c>
    </row>
    <row r="77" spans="1:48" s="62" customFormat="1" ht="31.5">
      <c r="A77" s="59"/>
      <c r="B77" s="60"/>
      <c r="C77" s="60"/>
      <c r="D77" s="22"/>
      <c r="E77" s="79"/>
      <c r="F77" s="150" t="s">
        <v>57</v>
      </c>
      <c r="G77" s="222" t="s">
        <v>121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/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/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45</v>
      </c>
      <c r="AU77" s="228"/>
      <c r="AV77" s="279">
        <v>45</v>
      </c>
    </row>
    <row r="78" spans="1:48" s="62" customFormat="1" ht="31.5">
      <c r="A78" s="59"/>
      <c r="B78" s="60"/>
      <c r="C78" s="427"/>
      <c r="D78" s="428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766</v>
      </c>
      <c r="AU78" s="228"/>
      <c r="AV78" s="279">
        <v>45</v>
      </c>
    </row>
    <row r="79" spans="1:48" s="62" customFormat="1" ht="26.25" customHeight="1">
      <c r="A79" s="59"/>
      <c r="B79" s="60"/>
      <c r="C79" s="60"/>
      <c r="D79" s="22"/>
      <c r="E79" s="79" t="s">
        <v>24</v>
      </c>
      <c r="F79" s="178" t="s">
        <v>58</v>
      </c>
      <c r="G79" s="222" t="s">
        <v>123</v>
      </c>
      <c r="H79" s="193" t="s">
        <v>91</v>
      </c>
      <c r="I79" s="193" t="s">
        <v>91</v>
      </c>
      <c r="J79" s="193">
        <v>5</v>
      </c>
      <c r="K79" s="193">
        <v>5</v>
      </c>
      <c r="L79" s="243">
        <v>2899.28</v>
      </c>
      <c r="M79" s="242">
        <f>J79*K79</f>
        <v>25</v>
      </c>
      <c r="N79" s="243">
        <f t="shared" si="8"/>
        <v>72482</v>
      </c>
      <c r="O79" s="193">
        <v>4</v>
      </c>
      <c r="P79" s="243">
        <v>8377.6</v>
      </c>
      <c r="Q79" s="193"/>
      <c r="R79" s="243"/>
      <c r="S79" s="193"/>
      <c r="T79" s="243"/>
      <c r="U79" s="203" t="s">
        <v>122</v>
      </c>
      <c r="V79" s="115">
        <v>1745</v>
      </c>
      <c r="W79" s="114">
        <v>43096</v>
      </c>
      <c r="X79" s="193" t="s">
        <v>117</v>
      </c>
      <c r="Y79" s="200">
        <v>43109</v>
      </c>
      <c r="Z79" s="193" t="s">
        <v>118</v>
      </c>
      <c r="AA79" s="200">
        <v>43133</v>
      </c>
      <c r="AB79" s="22">
        <v>0</v>
      </c>
      <c r="AC79" s="170">
        <v>0</v>
      </c>
      <c r="AD79" s="209">
        <v>4</v>
      </c>
      <c r="AE79" s="194">
        <v>9062.24</v>
      </c>
      <c r="AF79" s="209"/>
      <c r="AG79" s="194"/>
      <c r="AH79" s="209"/>
      <c r="AI79" s="194"/>
      <c r="AJ79" s="232"/>
      <c r="AK79" s="170">
        <f t="shared" si="6"/>
        <v>9062.24</v>
      </c>
      <c r="AL79" s="272">
        <v>0</v>
      </c>
      <c r="AM79" s="212">
        <v>0</v>
      </c>
      <c r="AN79" s="269">
        <v>4</v>
      </c>
      <c r="AO79" s="217">
        <f t="shared" ref="AO79:AO84" si="11">AC79+AK79-AM79</f>
        <v>9062.24</v>
      </c>
      <c r="AP79" s="232"/>
      <c r="AQ79" s="229"/>
      <c r="AR79" s="212">
        <v>2265.56</v>
      </c>
      <c r="AS79" s="212">
        <f t="shared" si="3"/>
        <v>0</v>
      </c>
      <c r="AT79" s="227">
        <v>4</v>
      </c>
      <c r="AU79" s="228">
        <f t="shared" si="4"/>
        <v>9062.24</v>
      </c>
      <c r="AV79" s="279">
        <f t="shared" si="10"/>
        <v>4</v>
      </c>
    </row>
    <row r="80" spans="1:48" s="62" customFormat="1" ht="26.25" customHeight="1">
      <c r="A80" s="59"/>
      <c r="B80" s="60"/>
      <c r="C80" s="60"/>
      <c r="D80" s="22"/>
      <c r="E80" s="79" t="s">
        <v>24</v>
      </c>
      <c r="F80" s="178" t="s">
        <v>58</v>
      </c>
      <c r="G80" s="222" t="s">
        <v>123</v>
      </c>
      <c r="H80" s="193" t="s">
        <v>91</v>
      </c>
      <c r="I80" s="193" t="s">
        <v>91</v>
      </c>
      <c r="J80" s="193"/>
      <c r="K80" s="193"/>
      <c r="L80" s="243"/>
      <c r="M80" s="242">
        <f t="shared" ref="M80:M84" si="12">J80*K80</f>
        <v>0</v>
      </c>
      <c r="N80" s="243">
        <f>L80*M80</f>
        <v>0</v>
      </c>
      <c r="O80" s="193"/>
      <c r="P80" s="243"/>
      <c r="Q80" s="193"/>
      <c r="R80" s="243"/>
      <c r="S80" s="193"/>
      <c r="T80" s="243"/>
      <c r="U80" s="203" t="s">
        <v>170</v>
      </c>
      <c r="V80" s="115">
        <v>834</v>
      </c>
      <c r="W80" s="114">
        <v>43222</v>
      </c>
      <c r="X80" s="193" t="s">
        <v>162</v>
      </c>
      <c r="Y80" s="200">
        <v>43242</v>
      </c>
      <c r="Z80" s="193"/>
      <c r="AA80" s="193"/>
      <c r="AB80" s="22">
        <v>0</v>
      </c>
      <c r="AC80" s="170">
        <v>0</v>
      </c>
      <c r="AD80" s="209">
        <v>2</v>
      </c>
      <c r="AE80" s="194">
        <v>4531.12</v>
      </c>
      <c r="AF80" s="209"/>
      <c r="AG80" s="194"/>
      <c r="AH80" s="209"/>
      <c r="AI80" s="194"/>
      <c r="AJ80" s="232"/>
      <c r="AK80" s="170">
        <f t="shared" si="6"/>
        <v>4531.12</v>
      </c>
      <c r="AL80" s="272">
        <v>0</v>
      </c>
      <c r="AM80" s="212">
        <v>0</v>
      </c>
      <c r="AN80" s="269">
        <v>2</v>
      </c>
      <c r="AO80" s="217">
        <f t="shared" si="11"/>
        <v>4531.12</v>
      </c>
      <c r="AP80" s="232"/>
      <c r="AQ80" s="229"/>
      <c r="AR80" s="212">
        <v>2265.56</v>
      </c>
      <c r="AS80" s="212">
        <f t="shared" ref="AS80:AS84" si="13">AQ80*AR80</f>
        <v>0</v>
      </c>
      <c r="AT80" s="227">
        <v>2</v>
      </c>
      <c r="AU80" s="228">
        <f t="shared" ref="AU80:AU84" si="14">AT80*AR80</f>
        <v>4531.12</v>
      </c>
      <c r="AV80" s="279">
        <f t="shared" si="10"/>
        <v>2</v>
      </c>
    </row>
    <row r="81" spans="1:48" s="62" customFormat="1" ht="26.25" customHeight="1">
      <c r="A81" s="59"/>
      <c r="B81" s="60"/>
      <c r="C81" s="60"/>
      <c r="D81" s="22"/>
      <c r="E81" s="79" t="s">
        <v>24</v>
      </c>
      <c r="F81" s="161" t="s">
        <v>61</v>
      </c>
      <c r="G81" s="222" t="s">
        <v>127</v>
      </c>
      <c r="H81" s="193" t="s">
        <v>91</v>
      </c>
      <c r="I81" s="193" t="s">
        <v>91</v>
      </c>
      <c r="J81" s="193">
        <v>48</v>
      </c>
      <c r="K81" s="193">
        <v>3</v>
      </c>
      <c r="L81" s="243">
        <v>71.97</v>
      </c>
      <c r="M81" s="242">
        <f t="shared" si="12"/>
        <v>144</v>
      </c>
      <c r="N81" s="243">
        <f t="shared" ref="N81:N84" si="15">L81*M81</f>
        <v>10363.68</v>
      </c>
      <c r="O81" s="193">
        <v>14</v>
      </c>
      <c r="P81" s="243">
        <v>714.98</v>
      </c>
      <c r="Q81" s="193"/>
      <c r="R81" s="243"/>
      <c r="S81" s="193"/>
      <c r="T81" s="243"/>
      <c r="U81" s="203" t="s">
        <v>128</v>
      </c>
      <c r="V81" s="115">
        <v>135</v>
      </c>
      <c r="W81" s="114">
        <v>42761</v>
      </c>
      <c r="X81" s="193" t="s">
        <v>126</v>
      </c>
      <c r="Y81" s="200">
        <v>43130</v>
      </c>
      <c r="Z81" s="193"/>
      <c r="AA81" s="193"/>
      <c r="AB81" s="22">
        <v>0</v>
      </c>
      <c r="AC81" s="170">
        <v>0</v>
      </c>
      <c r="AD81" s="209">
        <v>14</v>
      </c>
      <c r="AE81" s="194">
        <v>774.48</v>
      </c>
      <c r="AF81" s="209"/>
      <c r="AG81" s="194"/>
      <c r="AH81" s="209"/>
      <c r="AI81" s="194"/>
      <c r="AJ81" s="232"/>
      <c r="AK81" s="170">
        <f t="shared" ref="AK81:AK84" si="16">AE81+AG81+AI81</f>
        <v>774.48</v>
      </c>
      <c r="AL81" s="272">
        <v>0</v>
      </c>
      <c r="AM81" s="212">
        <v>0</v>
      </c>
      <c r="AN81" s="269">
        <v>14</v>
      </c>
      <c r="AO81" s="217">
        <f t="shared" si="11"/>
        <v>774.48</v>
      </c>
      <c r="AP81" s="232"/>
      <c r="AQ81" s="229"/>
      <c r="AR81" s="212">
        <v>55.32</v>
      </c>
      <c r="AS81" s="212">
        <f t="shared" si="13"/>
        <v>0</v>
      </c>
      <c r="AT81" s="227">
        <f>14-2</f>
        <v>12</v>
      </c>
      <c r="AU81" s="228">
        <f t="shared" si="14"/>
        <v>663.84</v>
      </c>
      <c r="AV81" s="279">
        <f t="shared" si="10"/>
        <v>12</v>
      </c>
    </row>
    <row r="82" spans="1:48" s="62" customFormat="1" ht="26.25" customHeight="1">
      <c r="A82" s="59"/>
      <c r="B82" s="60"/>
      <c r="C82" s="60"/>
      <c r="D82" s="22"/>
      <c r="E82" s="79" t="s">
        <v>24</v>
      </c>
      <c r="F82" s="161" t="s">
        <v>61</v>
      </c>
      <c r="G82" s="222" t="s">
        <v>127</v>
      </c>
      <c r="H82" s="193" t="s">
        <v>91</v>
      </c>
      <c r="I82" s="193" t="s">
        <v>91</v>
      </c>
      <c r="J82" s="193"/>
      <c r="K82" s="193"/>
      <c r="L82" s="243"/>
      <c r="M82" s="242">
        <f t="shared" si="12"/>
        <v>0</v>
      </c>
      <c r="N82" s="243">
        <f t="shared" si="15"/>
        <v>0</v>
      </c>
      <c r="O82" s="193"/>
      <c r="P82" s="243"/>
      <c r="Q82" s="193"/>
      <c r="R82" s="243"/>
      <c r="S82" s="193"/>
      <c r="T82" s="243"/>
      <c r="U82" s="203" t="s">
        <v>171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26</v>
      </c>
      <c r="AE82" s="194">
        <v>1438.32</v>
      </c>
      <c r="AF82" s="209"/>
      <c r="AG82" s="194"/>
      <c r="AH82" s="209"/>
      <c r="AI82" s="194"/>
      <c r="AJ82" s="232"/>
      <c r="AK82" s="170">
        <f t="shared" si="16"/>
        <v>1438.32</v>
      </c>
      <c r="AL82" s="272">
        <v>0</v>
      </c>
      <c r="AM82" s="212">
        <v>0</v>
      </c>
      <c r="AN82" s="269">
        <v>26</v>
      </c>
      <c r="AO82" s="217">
        <f t="shared" si="11"/>
        <v>1438.32</v>
      </c>
      <c r="AP82" s="232"/>
      <c r="AQ82" s="229"/>
      <c r="AR82" s="212">
        <v>55.32</v>
      </c>
      <c r="AS82" s="212">
        <f t="shared" si="13"/>
        <v>0</v>
      </c>
      <c r="AT82" s="227">
        <v>26</v>
      </c>
      <c r="AU82" s="228">
        <f t="shared" si="14"/>
        <v>1438.32</v>
      </c>
      <c r="AV82" s="279">
        <f t="shared" si="10"/>
        <v>26</v>
      </c>
    </row>
    <row r="83" spans="1:48" s="62" customFormat="1" ht="26.25" customHeight="1">
      <c r="A83" s="59"/>
      <c r="B83" s="60"/>
      <c r="C83" s="60"/>
      <c r="D83" s="22"/>
      <c r="E83" s="79" t="s">
        <v>24</v>
      </c>
      <c r="F83" s="179" t="s">
        <v>62</v>
      </c>
      <c r="G83" s="222" t="s">
        <v>129</v>
      </c>
      <c r="H83" s="193" t="s">
        <v>91</v>
      </c>
      <c r="I83" s="193" t="s">
        <v>91</v>
      </c>
      <c r="J83" s="193">
        <v>24</v>
      </c>
      <c r="K83" s="193">
        <v>4</v>
      </c>
      <c r="L83" s="243">
        <v>984.1</v>
      </c>
      <c r="M83" s="242">
        <f t="shared" si="12"/>
        <v>96</v>
      </c>
      <c r="N83" s="243">
        <f t="shared" si="15"/>
        <v>94473.600000000006</v>
      </c>
      <c r="O83" s="193">
        <v>6</v>
      </c>
      <c r="P83" s="243">
        <v>4721.3999999999996</v>
      </c>
      <c r="Q83" s="193"/>
      <c r="R83" s="243"/>
      <c r="S83" s="193"/>
      <c r="T83" s="243"/>
      <c r="U83" s="203" t="s">
        <v>130</v>
      </c>
      <c r="V83" s="115">
        <v>135</v>
      </c>
      <c r="W83" s="114">
        <v>42761</v>
      </c>
      <c r="X83" s="193" t="s">
        <v>126</v>
      </c>
      <c r="Y83" s="200">
        <v>43130</v>
      </c>
      <c r="Z83" s="193"/>
      <c r="AA83" s="193"/>
      <c r="AB83" s="22">
        <v>0</v>
      </c>
      <c r="AC83" s="170">
        <v>0</v>
      </c>
      <c r="AD83" s="209">
        <v>6</v>
      </c>
      <c r="AE83" s="194">
        <v>4549.08</v>
      </c>
      <c r="AF83" s="209"/>
      <c r="AG83" s="194"/>
      <c r="AH83" s="209"/>
      <c r="AI83" s="194"/>
      <c r="AJ83" s="232"/>
      <c r="AK83" s="170">
        <f t="shared" si="16"/>
        <v>4549.08</v>
      </c>
      <c r="AL83" s="272">
        <v>0</v>
      </c>
      <c r="AM83" s="212">
        <v>0</v>
      </c>
      <c r="AN83" s="269">
        <v>6</v>
      </c>
      <c r="AO83" s="217">
        <f t="shared" si="11"/>
        <v>4549.08</v>
      </c>
      <c r="AP83" s="232"/>
      <c r="AQ83" s="229"/>
      <c r="AR83" s="212">
        <v>758.18</v>
      </c>
      <c r="AS83" s="212">
        <f t="shared" si="13"/>
        <v>0</v>
      </c>
      <c r="AT83" s="227">
        <v>6</v>
      </c>
      <c r="AU83" s="228">
        <f t="shared" si="14"/>
        <v>4549.08</v>
      </c>
      <c r="AV83" s="279">
        <f t="shared" si="10"/>
        <v>6</v>
      </c>
    </row>
    <row r="84" spans="1:48" s="62" customFormat="1" ht="26.25" customHeight="1">
      <c r="A84" s="59"/>
      <c r="B84" s="60"/>
      <c r="C84" s="60"/>
      <c r="D84" s="22"/>
      <c r="E84" s="79" t="s">
        <v>24</v>
      </c>
      <c r="F84" s="179" t="s">
        <v>62</v>
      </c>
      <c r="G84" s="222" t="s">
        <v>129</v>
      </c>
      <c r="H84" s="193" t="s">
        <v>91</v>
      </c>
      <c r="I84" s="193" t="s">
        <v>91</v>
      </c>
      <c r="J84" s="193"/>
      <c r="K84" s="193"/>
      <c r="L84" s="243"/>
      <c r="M84" s="242">
        <f t="shared" si="12"/>
        <v>0</v>
      </c>
      <c r="N84" s="243">
        <f t="shared" si="15"/>
        <v>0</v>
      </c>
      <c r="O84" s="193"/>
      <c r="P84" s="243"/>
      <c r="Q84" s="193"/>
      <c r="R84" s="243"/>
      <c r="S84" s="193"/>
      <c r="T84" s="243"/>
      <c r="U84" s="203" t="s">
        <v>172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10</v>
      </c>
      <c r="AE84" s="194">
        <v>7581.8</v>
      </c>
      <c r="AF84" s="209"/>
      <c r="AG84" s="194"/>
      <c r="AH84" s="209"/>
      <c r="AI84" s="194"/>
      <c r="AJ84" s="232"/>
      <c r="AK84" s="170">
        <f t="shared" si="16"/>
        <v>7581.8</v>
      </c>
      <c r="AL84" s="272">
        <v>0</v>
      </c>
      <c r="AM84" s="212">
        <v>0</v>
      </c>
      <c r="AN84" s="269">
        <v>10</v>
      </c>
      <c r="AO84" s="217">
        <f t="shared" si="11"/>
        <v>7581.8</v>
      </c>
      <c r="AP84" s="232"/>
      <c r="AQ84" s="229"/>
      <c r="AR84" s="212">
        <v>758.18</v>
      </c>
      <c r="AS84" s="212">
        <f t="shared" si="13"/>
        <v>0</v>
      </c>
      <c r="AT84" s="227">
        <v>10</v>
      </c>
      <c r="AU84" s="228">
        <f t="shared" si="14"/>
        <v>7581.7999999999993</v>
      </c>
      <c r="AV84" s="279">
        <f t="shared" si="10"/>
        <v>10</v>
      </c>
    </row>
    <row r="85" spans="1:48" s="62" customFormat="1" ht="26.25" customHeight="1">
      <c r="A85" s="59"/>
      <c r="B85" s="60"/>
      <c r="C85" s="60"/>
      <c r="D85" s="22"/>
      <c r="E85" s="79"/>
      <c r="F85" s="179" t="s">
        <v>62</v>
      </c>
      <c r="G85" s="222" t="s">
        <v>129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/>
      <c r="V85" s="115"/>
      <c r="W85" s="114"/>
      <c r="X85" s="193"/>
      <c r="Y85" s="200"/>
      <c r="Z85" s="193"/>
      <c r="AA85" s="193"/>
      <c r="AB85" s="22"/>
      <c r="AC85" s="170"/>
      <c r="AD85" s="209"/>
      <c r="AE85" s="194"/>
      <c r="AF85" s="209"/>
      <c r="AG85" s="194"/>
      <c r="AH85" s="209"/>
      <c r="AI85" s="194"/>
      <c r="AJ85" s="232"/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4</v>
      </c>
      <c r="AU85" s="228"/>
      <c r="AV85" s="279">
        <v>4</v>
      </c>
    </row>
    <row r="86" spans="1:48" s="251" customFormat="1" ht="21" customHeight="1">
      <c r="A86" s="20" t="s">
        <v>11</v>
      </c>
      <c r="B86" s="20"/>
      <c r="C86" s="20"/>
      <c r="D86" s="695" t="s">
        <v>34</v>
      </c>
      <c r="E86" s="696"/>
      <c r="F86" s="697"/>
      <c r="G86" s="246"/>
      <c r="H86" s="246"/>
      <c r="I86" s="246"/>
      <c r="J86" s="246"/>
      <c r="K86" s="247">
        <f>SUM(K17:K85)</f>
        <v>28</v>
      </c>
      <c r="L86" s="248"/>
      <c r="M86" s="246"/>
      <c r="N86" s="249">
        <f>SUM(N17:N85)</f>
        <v>2293381.04</v>
      </c>
      <c r="O86" s="248"/>
      <c r="P86" s="249">
        <f>SUM(P17:P85)</f>
        <v>1456893.27</v>
      </c>
      <c r="Q86" s="248"/>
      <c r="R86" s="249">
        <f>SUM(R17:R85)</f>
        <v>1125245.6000000001</v>
      </c>
      <c r="S86" s="248"/>
      <c r="T86" s="249">
        <f>SUM(T17:T85)</f>
        <v>493933.38</v>
      </c>
      <c r="U86" s="291" t="s">
        <v>156</v>
      </c>
      <c r="V86" s="291" t="s">
        <v>156</v>
      </c>
      <c r="W86" s="291" t="s">
        <v>156</v>
      </c>
      <c r="X86" s="250" t="s">
        <v>156</v>
      </c>
      <c r="Y86" s="250" t="s">
        <v>156</v>
      </c>
      <c r="Z86" s="250" t="s">
        <v>156</v>
      </c>
      <c r="AA86" s="250" t="s">
        <v>156</v>
      </c>
      <c r="AB86" s="176">
        <f>SUM(AB17:AB34)</f>
        <v>350</v>
      </c>
      <c r="AC86" s="171">
        <f>SUM(AC17:AC61)</f>
        <v>190344.16</v>
      </c>
      <c r="AD86" s="210">
        <f t="shared" ref="AD86:AQ86" si="17">SUM(AD17:AD85)</f>
        <v>12308</v>
      </c>
      <c r="AE86" s="195">
        <f t="shared" si="17"/>
        <v>1327130.1099999999</v>
      </c>
      <c r="AF86" s="210">
        <f t="shared" si="17"/>
        <v>0</v>
      </c>
      <c r="AG86" s="195">
        <f t="shared" si="17"/>
        <v>0</v>
      </c>
      <c r="AH86" s="210">
        <f t="shared" si="17"/>
        <v>0</v>
      </c>
      <c r="AI86" s="195">
        <f t="shared" si="17"/>
        <v>0</v>
      </c>
      <c r="AJ86" s="210">
        <f t="shared" si="17"/>
        <v>1796</v>
      </c>
      <c r="AK86" s="175">
        <f t="shared" si="17"/>
        <v>1327130.1099999999</v>
      </c>
      <c r="AL86" s="213">
        <f t="shared" si="17"/>
        <v>1317</v>
      </c>
      <c r="AM86" s="214">
        <f t="shared" si="17"/>
        <v>239268.15000000002</v>
      </c>
      <c r="AN86" s="218">
        <f t="shared" si="17"/>
        <v>11341</v>
      </c>
      <c r="AO86" s="219">
        <f t="shared" si="17"/>
        <v>1260482.31</v>
      </c>
      <c r="AP86" s="286">
        <f t="shared" si="17"/>
        <v>0</v>
      </c>
      <c r="AQ86" s="287">
        <f t="shared" si="17"/>
        <v>0</v>
      </c>
      <c r="AR86" s="226" t="s">
        <v>156</v>
      </c>
      <c r="AS86" s="226">
        <f>SUM(AS17:AS85)</f>
        <v>0</v>
      </c>
      <c r="AT86" s="261">
        <f>SUM(AT17:AT85)</f>
        <v>6485</v>
      </c>
      <c r="AU86" s="228">
        <f>SUM(AU17:AU85)</f>
        <v>987927.59</v>
      </c>
      <c r="AV86" s="236">
        <f>SUM(AV17:AV85)</f>
        <v>5764</v>
      </c>
    </row>
    <row r="87" spans="1:48" s="336" customFormat="1" ht="21" customHeight="1">
      <c r="A87" s="20"/>
      <c r="B87" s="20"/>
      <c r="C87" s="20"/>
      <c r="D87" s="294"/>
      <c r="E87" s="294"/>
      <c r="F87" s="294"/>
      <c r="G87" s="330"/>
      <c r="H87" s="330"/>
      <c r="I87" s="330"/>
      <c r="J87" s="330"/>
      <c r="K87" s="331"/>
      <c r="L87" s="332"/>
      <c r="M87" s="330"/>
      <c r="N87" s="333"/>
      <c r="O87" s="332"/>
      <c r="P87" s="333"/>
      <c r="Q87" s="332"/>
      <c r="R87" s="333"/>
      <c r="S87" s="332"/>
      <c r="T87" s="333"/>
      <c r="U87" s="295"/>
      <c r="V87" s="295"/>
      <c r="W87" s="295"/>
      <c r="X87" s="295"/>
      <c r="Y87" s="295"/>
      <c r="Z87" s="295"/>
      <c r="AA87" s="295"/>
      <c r="AB87" s="296"/>
      <c r="AC87" s="297"/>
      <c r="AD87" s="296"/>
      <c r="AE87" s="297"/>
      <c r="AF87" s="296"/>
      <c r="AG87" s="297"/>
      <c r="AH87" s="296"/>
      <c r="AI87" s="297"/>
      <c r="AJ87" s="478"/>
      <c r="AK87" s="299"/>
      <c r="AL87" s="334"/>
      <c r="AM87" s="297"/>
      <c r="AN87" s="296"/>
      <c r="AO87" s="297"/>
      <c r="AP87" s="298"/>
      <c r="AQ87" s="335"/>
      <c r="AR87" s="333"/>
      <c r="AS87" s="333"/>
      <c r="AT87" s="331"/>
      <c r="AU87" s="333"/>
      <c r="AV87" s="331"/>
    </row>
    <row r="88" spans="1:48" s="336" customFormat="1" ht="21" hidden="1" customHeight="1">
      <c r="A88" s="20"/>
      <c r="B88" s="20"/>
      <c r="C88" s="20"/>
      <c r="D88" s="294"/>
      <c r="E88" s="294"/>
      <c r="F88" s="294"/>
      <c r="G88" s="330"/>
      <c r="H88" s="330"/>
      <c r="I88" s="330"/>
      <c r="J88" s="330"/>
      <c r="K88" s="331"/>
      <c r="L88" s="332"/>
      <c r="M88" s="330"/>
      <c r="N88" s="333"/>
      <c r="O88" s="332"/>
      <c r="P88" s="333"/>
      <c r="Q88" s="332"/>
      <c r="R88" s="333"/>
      <c r="S88" s="332"/>
      <c r="T88" s="333"/>
      <c r="U88" s="295"/>
      <c r="V88" s="295"/>
      <c r="W88" s="295"/>
      <c r="X88" s="295"/>
      <c r="Y88" s="295"/>
      <c r="Z88" s="295"/>
      <c r="AA88" s="295"/>
      <c r="AB88" s="296"/>
      <c r="AC88" s="297"/>
      <c r="AD88" s="296"/>
      <c r="AE88" s="297"/>
      <c r="AF88" s="296"/>
      <c r="AG88" s="297"/>
      <c r="AH88" s="296"/>
      <c r="AI88" s="297"/>
      <c r="AJ88" s="478"/>
      <c r="AK88" s="299"/>
      <c r="AL88" s="334"/>
      <c r="AM88" s="297"/>
      <c r="AN88" s="296"/>
      <c r="AO88" s="297"/>
      <c r="AP88" s="298"/>
      <c r="AQ88" s="335"/>
      <c r="AR88" s="333"/>
      <c r="AS88" s="333"/>
      <c r="AT88" s="331"/>
      <c r="AU88" s="333"/>
      <c r="AV88" s="331"/>
    </row>
    <row r="89" spans="1:48" s="292" customFormat="1" ht="20.25" hidden="1">
      <c r="A89" s="301"/>
      <c r="B89" s="301"/>
      <c r="C89" s="301"/>
      <c r="D89" s="302"/>
      <c r="E89" s="301"/>
      <c r="F89" s="303" t="s">
        <v>205</v>
      </c>
      <c r="G89" s="303"/>
      <c r="H89" s="303" t="s">
        <v>208</v>
      </c>
      <c r="I89" s="30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3"/>
      <c r="V89" s="303"/>
      <c r="X89" s="303"/>
      <c r="Y89" s="303"/>
      <c r="Z89" s="303"/>
      <c r="AA89" s="303" t="s">
        <v>208</v>
      </c>
      <c r="AB89" s="303"/>
      <c r="AC89" s="303"/>
      <c r="AD89" s="303"/>
      <c r="AE89" s="303"/>
      <c r="AF89" s="303"/>
      <c r="AG89" s="303"/>
      <c r="AH89" s="303"/>
      <c r="AI89" s="303"/>
      <c r="AJ89" s="479"/>
      <c r="AK89" s="303"/>
      <c r="AL89" s="301"/>
      <c r="AM89" s="303"/>
      <c r="AN89" s="305"/>
      <c r="AO89" s="306"/>
      <c r="AP89" s="307"/>
      <c r="AQ89" s="302"/>
      <c r="AR89" s="308"/>
      <c r="AS89" s="308"/>
      <c r="AT89" s="302"/>
      <c r="AU89" s="302"/>
      <c r="AV89" s="302"/>
    </row>
    <row r="90" spans="1:48" s="292" customFormat="1" ht="20.25" hidden="1">
      <c r="A90" s="301"/>
      <c r="B90" s="301"/>
      <c r="C90" s="301"/>
      <c r="D90" s="302"/>
      <c r="E90" s="301"/>
      <c r="F90" s="303"/>
      <c r="G90" s="303"/>
      <c r="H90" s="303"/>
      <c r="I90" s="30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3"/>
      <c r="V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479"/>
      <c r="AK90" s="303"/>
      <c r="AL90" s="301"/>
      <c r="AM90" s="303"/>
      <c r="AN90" s="305"/>
      <c r="AO90" s="306"/>
      <c r="AP90" s="307"/>
      <c r="AQ90" s="302"/>
      <c r="AR90" s="308"/>
      <c r="AS90" s="308"/>
      <c r="AT90" s="302"/>
      <c r="AU90" s="302"/>
      <c r="AV90" s="302"/>
    </row>
    <row r="91" spans="1:48" s="292" customFormat="1" ht="20.25" hidden="1">
      <c r="A91" s="301"/>
      <c r="B91" s="301"/>
      <c r="C91" s="301"/>
      <c r="D91" s="302"/>
      <c r="E91" s="301"/>
      <c r="F91" s="303"/>
      <c r="G91" s="303"/>
      <c r="H91" s="303"/>
      <c r="I91" s="30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3"/>
      <c r="V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479"/>
      <c r="AK91" s="303"/>
      <c r="AL91" s="301"/>
      <c r="AM91" s="303"/>
      <c r="AN91" s="305"/>
      <c r="AO91" s="306"/>
      <c r="AP91" s="307"/>
      <c r="AQ91" s="302"/>
      <c r="AR91" s="308"/>
      <c r="AS91" s="308"/>
      <c r="AT91" s="302"/>
      <c r="AU91" s="302"/>
      <c r="AV91" s="302"/>
    </row>
    <row r="92" spans="1:48" s="292" customFormat="1" ht="15" hidden="1" customHeight="1">
      <c r="A92" s="309"/>
      <c r="B92" s="309"/>
      <c r="C92" s="309"/>
      <c r="D92" s="302"/>
      <c r="E92" s="309"/>
      <c r="F92" s="310"/>
      <c r="G92" s="310"/>
      <c r="H92" s="308"/>
      <c r="I92" s="308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8"/>
      <c r="V92" s="311"/>
      <c r="AA92" s="311"/>
      <c r="AJ92" s="480"/>
      <c r="AK92" s="312"/>
      <c r="AL92" s="309"/>
      <c r="AM92" s="31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8" s="292" customFormat="1" ht="18" hidden="1" customHeight="1">
      <c r="A93" s="314" t="s">
        <v>12</v>
      </c>
      <c r="B93" s="314"/>
      <c r="C93" s="314"/>
      <c r="D93" s="315"/>
      <c r="E93" s="314"/>
      <c r="F93" s="316" t="s">
        <v>206</v>
      </c>
      <c r="G93" s="316"/>
      <c r="H93" s="736" t="s">
        <v>209</v>
      </c>
      <c r="I93" s="736"/>
      <c r="J93" s="736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8"/>
      <c r="V93" s="319"/>
      <c r="X93" s="303"/>
      <c r="Y93" s="316"/>
      <c r="Z93" s="316"/>
      <c r="AA93" s="320" t="s">
        <v>209</v>
      </c>
      <c r="AB93" s="316"/>
      <c r="AC93" s="316"/>
      <c r="AD93" s="316"/>
      <c r="AE93" s="316"/>
      <c r="AF93" s="316"/>
      <c r="AG93" s="316"/>
      <c r="AH93" s="316"/>
      <c r="AI93" s="316"/>
      <c r="AJ93" s="481"/>
      <c r="AK93" s="316"/>
      <c r="AL93" s="314"/>
      <c r="AM93" s="316"/>
      <c r="AN93" s="314"/>
      <c r="AO93" s="321"/>
      <c r="AP93" s="307"/>
      <c r="AQ93" s="302"/>
      <c r="AR93" s="308"/>
      <c r="AS93" s="308"/>
      <c r="AT93" s="302"/>
      <c r="AU93" s="302"/>
      <c r="AV93" s="302"/>
    </row>
    <row r="94" spans="1:48" s="62" customFormat="1" ht="18.75" hidden="1">
      <c r="A94" s="11"/>
      <c r="B94" s="11"/>
      <c r="C94" s="11"/>
      <c r="D94" s="255"/>
      <c r="E94" s="11"/>
      <c r="F94" s="322"/>
      <c r="G94" s="322"/>
      <c r="H94" s="322"/>
      <c r="I94" s="322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482"/>
      <c r="AK94" s="322"/>
      <c r="AL94" s="324"/>
      <c r="AM94" s="322"/>
      <c r="AN94" s="281"/>
      <c r="AO94" s="325"/>
      <c r="AP94" s="326"/>
      <c r="AQ94" s="464"/>
      <c r="AR94" s="255"/>
      <c r="AS94" s="255"/>
      <c r="AT94" s="464"/>
      <c r="AU94" s="464"/>
      <c r="AV94" s="464"/>
    </row>
    <row r="95" spans="1:48" s="103" customFormat="1" ht="57.75" hidden="1" customHeight="1">
      <c r="A95" s="11"/>
      <c r="B95" s="11"/>
      <c r="C95" s="11"/>
      <c r="D95" s="255"/>
      <c r="E95" s="720" t="s">
        <v>207</v>
      </c>
      <c r="F95" s="720"/>
      <c r="G95" s="327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9"/>
      <c r="W95" s="329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483"/>
      <c r="AK95" s="11"/>
      <c r="AL95" s="281"/>
      <c r="AM95" s="11"/>
      <c r="AN95" s="281"/>
      <c r="AP95" s="326"/>
      <c r="AQ95" s="464"/>
      <c r="AR95" s="255"/>
      <c r="AS95" s="255"/>
      <c r="AT95" s="464"/>
      <c r="AU95" s="464"/>
      <c r="AV95" s="464"/>
    </row>
  </sheetData>
  <mergeCells count="40">
    <mergeCell ref="D11:AV11"/>
    <mergeCell ref="E6:AT6"/>
    <mergeCell ref="D7:AV7"/>
    <mergeCell ref="D8:AV8"/>
    <mergeCell ref="D9:AV9"/>
    <mergeCell ref="D10:AV10"/>
    <mergeCell ref="E95:F9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86:F86"/>
    <mergeCell ref="H93:J93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95"/>
  <sheetViews>
    <sheetView view="pageBreakPreview" topLeftCell="C1" zoomScale="70" zoomScaleSheetLayoutView="70" workbookViewId="0">
      <selection activeCell="BA15" sqref="BA15"/>
    </sheetView>
  </sheetViews>
  <sheetFormatPr defaultRowHeight="15.75"/>
  <cols>
    <col min="1" max="2" width="0" hidden="1" customWidth="1"/>
    <col min="3" max="3" width="3.5703125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472"/>
      <c r="AR1" s="255"/>
      <c r="AS1" s="255"/>
      <c r="AT1" s="472"/>
      <c r="AU1" s="472"/>
      <c r="AV1" s="47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7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7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271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472"/>
      <c r="AR12" s="255"/>
      <c r="AS12" s="255"/>
      <c r="AT12" s="473"/>
      <c r="AU12" s="473"/>
      <c r="AV12" s="47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257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270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473"/>
      <c r="D16" s="748"/>
      <c r="E16" s="685"/>
      <c r="F16" s="685"/>
      <c r="G16" s="202"/>
      <c r="H16" s="201"/>
      <c r="I16" s="201"/>
      <c r="J16" s="241"/>
      <c r="K16" s="241"/>
      <c r="L16" s="241"/>
      <c r="M16" s="471" t="s">
        <v>77</v>
      </c>
      <c r="N16" s="471" t="s">
        <v>78</v>
      </c>
      <c r="O16" s="471" t="s">
        <v>77</v>
      </c>
      <c r="P16" s="471" t="s">
        <v>78</v>
      </c>
      <c r="Q16" s="471" t="s">
        <v>77</v>
      </c>
      <c r="R16" s="471" t="s">
        <v>78</v>
      </c>
      <c r="S16" s="471" t="s">
        <v>77</v>
      </c>
      <c r="T16" s="47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70" t="s">
        <v>77</v>
      </c>
      <c r="AE16" s="470" t="s">
        <v>78</v>
      </c>
      <c r="AF16" s="205" t="s">
        <v>77</v>
      </c>
      <c r="AG16" s="205" t="s">
        <v>78</v>
      </c>
      <c r="AH16" s="470" t="s">
        <v>77</v>
      </c>
      <c r="AI16" s="470" t="s">
        <v>78</v>
      </c>
      <c r="AJ16" s="207" t="s">
        <v>96</v>
      </c>
      <c r="AK16" s="96" t="s">
        <v>19</v>
      </c>
      <c r="AL16" s="468" t="s">
        <v>96</v>
      </c>
      <c r="AM16" s="468" t="s">
        <v>19</v>
      </c>
      <c r="AN16" s="216" t="s">
        <v>96</v>
      </c>
      <c r="AO16" s="216" t="s">
        <v>19</v>
      </c>
      <c r="AP16" s="207" t="s">
        <v>96</v>
      </c>
      <c r="AQ16" s="468" t="s">
        <v>96</v>
      </c>
      <c r="AR16" s="468" t="s">
        <v>107</v>
      </c>
      <c r="AS16" s="468" t="s">
        <v>19</v>
      </c>
      <c r="AT16" s="469" t="s">
        <v>96</v>
      </c>
      <c r="AU16" s="469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0" si="0">J18*K18</f>
        <v>0</v>
      </c>
      <c r="N18" s="243">
        <f t="shared" ref="N18:N79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5" si="2">AC18+AK18-AM18</f>
        <v>1026.1600000000001</v>
      </c>
      <c r="AP18" s="232"/>
      <c r="AQ18" s="229"/>
      <c r="AR18" s="212">
        <v>1026.1600000000001</v>
      </c>
      <c r="AS18" s="212">
        <f t="shared" ref="AS18:AS81" si="3">AQ18*AR18</f>
        <v>0</v>
      </c>
      <c r="AT18" s="227">
        <v>1</v>
      </c>
      <c r="AU18" s="228">
        <f t="shared" ref="AU18:AU81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2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6.25" customHeight="1">
      <c r="A20" s="59"/>
      <c r="B20" s="60"/>
      <c r="C20" s="60"/>
      <c r="D20" s="2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27">
        <v>2</v>
      </c>
      <c r="AU20" s="228">
        <f>AT20*AR20</f>
        <v>4040.8</v>
      </c>
      <c r="AV20" s="279">
        <f>AT20</f>
        <v>2</v>
      </c>
    </row>
    <row r="21" spans="1:48" s="62" customFormat="1" ht="29.25" customHeight="1">
      <c r="A21" s="59"/>
      <c r="B21" s="60"/>
      <c r="C21" s="60"/>
      <c r="D21" s="2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27">
        <v>4</v>
      </c>
      <c r="AU21" s="228">
        <f>AT21*AR21</f>
        <v>8081.6</v>
      </c>
      <c r="AV21" s="279">
        <f>AT21</f>
        <v>4</v>
      </c>
    </row>
    <row r="22" spans="1:48" s="62" customFormat="1" ht="24.75" customHeight="1">
      <c r="A22" s="59"/>
      <c r="B22" s="60"/>
      <c r="C22" s="60"/>
      <c r="D22" s="2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27">
        <v>1</v>
      </c>
      <c r="AU22" s="228">
        <f t="shared" si="4"/>
        <v>2094.4</v>
      </c>
      <c r="AV22" s="279">
        <f t="shared" si="5"/>
        <v>1</v>
      </c>
    </row>
    <row r="23" spans="1:48" s="89" customFormat="1" ht="33.75">
      <c r="A23" s="80"/>
      <c r="B23" s="81"/>
      <c r="C23" s="60"/>
      <c r="D23" s="2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27">
        <v>1</v>
      </c>
      <c r="AU23" s="228">
        <f t="shared" si="4"/>
        <v>2094.4</v>
      </c>
      <c r="AV23" s="279">
        <f t="shared" si="5"/>
        <v>1</v>
      </c>
    </row>
    <row r="24" spans="1:48" s="62" customFormat="1" ht="24" customHeight="1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61">
        <f>5-1-1</f>
        <v>3</v>
      </c>
      <c r="AU24" s="262">
        <f t="shared" si="4"/>
        <v>2360.6999999999998</v>
      </c>
      <c r="AV24" s="406">
        <f t="shared" si="5"/>
        <v>3</v>
      </c>
    </row>
    <row r="25" spans="1:48" s="62" customFormat="1" ht="24.75" customHeight="1">
      <c r="A25" s="59"/>
      <c r="B25" s="60"/>
      <c r="C25" s="427"/>
      <c r="D25" s="428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8" s="62" customFormat="1" ht="24.75" customHeight="1">
      <c r="A26" s="59"/>
      <c r="B26" s="60"/>
      <c r="C26" s="427"/>
      <c r="D26" s="428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8" s="62" customFormat="1" ht="31.5">
      <c r="A27" s="59"/>
      <c r="B27" s="60"/>
      <c r="C27" s="427"/>
      <c r="D27" s="428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8" s="62" customFormat="1" ht="31.5">
      <c r="A28" s="59"/>
      <c r="B28" s="60"/>
      <c r="C28" s="427"/>
      <c r="D28" s="428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8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61">
        <f>90-55</f>
        <v>35</v>
      </c>
      <c r="AU29" s="262">
        <f t="shared" si="4"/>
        <v>18732.7</v>
      </c>
      <c r="AV29" s="406">
        <f t="shared" si="5"/>
        <v>35</v>
      </c>
    </row>
    <row r="30" spans="1:48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15</v>
      </c>
      <c r="AU30" s="228"/>
      <c r="AV30" s="279">
        <v>15</v>
      </c>
    </row>
    <row r="31" spans="1:48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61">
        <f>10-10</f>
        <v>0</v>
      </c>
      <c r="AU31" s="262"/>
      <c r="AV31" s="406">
        <f t="shared" si="5"/>
        <v>0</v>
      </c>
    </row>
    <row r="32" spans="1:48" s="62" customFormat="1" ht="26.25" customHeight="1">
      <c r="A32" s="59"/>
      <c r="B32" s="60"/>
      <c r="C32" s="427"/>
      <c r="D32" s="428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8" s="62" customFormat="1" ht="26.25" customHeight="1">
      <c r="A33" s="59"/>
      <c r="B33" s="60"/>
      <c r="C33" s="427"/>
      <c r="D33" s="428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8" s="62" customFormat="1" ht="24" customHeight="1">
      <c r="A34" s="59"/>
      <c r="B34" s="60"/>
      <c r="C34" s="427"/>
      <c r="D34" s="428"/>
      <c r="E34" s="79" t="s">
        <v>24</v>
      </c>
      <c r="F34" s="485" t="s">
        <v>269</v>
      </c>
      <c r="G34" s="222" t="s">
        <v>152</v>
      </c>
      <c r="H34" s="115" t="s">
        <v>91</v>
      </c>
      <c r="I34" s="115" t="s">
        <v>91</v>
      </c>
      <c r="J34" s="115"/>
      <c r="K34" s="115"/>
      <c r="L34" s="276"/>
      <c r="M34" s="277">
        <f>J34*K34</f>
        <v>0</v>
      </c>
      <c r="N34" s="276">
        <f>L34*M34</f>
        <v>0</v>
      </c>
      <c r="O34" s="115"/>
      <c r="P34" s="276"/>
      <c r="Q34" s="115"/>
      <c r="R34" s="276"/>
      <c r="S34" s="115"/>
      <c r="T34" s="276"/>
      <c r="U34" s="203" t="s">
        <v>265</v>
      </c>
      <c r="V34" s="115">
        <v>1405</v>
      </c>
      <c r="W34" s="114">
        <v>43052</v>
      </c>
      <c r="X34" s="115"/>
      <c r="Y34" s="115"/>
      <c r="Z34" s="115"/>
      <c r="AA34" s="115"/>
      <c r="AB34" s="35">
        <v>120</v>
      </c>
      <c r="AC34" s="170">
        <v>58734</v>
      </c>
      <c r="AD34" s="208"/>
      <c r="AE34" s="170"/>
      <c r="AF34" s="208"/>
      <c r="AG34" s="170"/>
      <c r="AH34" s="208"/>
      <c r="AI34" s="170"/>
      <c r="AJ34" s="232">
        <v>140</v>
      </c>
      <c r="AK34" s="170">
        <f>AE34+AG34+AI34</f>
        <v>0</v>
      </c>
      <c r="AL34" s="270">
        <f>15+30+10+25+20+20</f>
        <v>120</v>
      </c>
      <c r="AM34" s="170">
        <f>7341.75+14683.5+4894.5+12236.25+9789</f>
        <v>48945</v>
      </c>
      <c r="AN34" s="270">
        <v>0</v>
      </c>
      <c r="AO34" s="170">
        <f>AC34+AK34-AM34</f>
        <v>9789</v>
      </c>
      <c r="AP34" s="233"/>
      <c r="AQ34" s="233"/>
      <c r="AR34" s="170">
        <v>489.45</v>
      </c>
      <c r="AS34" s="170">
        <f>AQ34*AR34</f>
        <v>0</v>
      </c>
      <c r="AT34" s="227">
        <v>140</v>
      </c>
      <c r="AU34" s="386">
        <f>AT34*AR34</f>
        <v>68523</v>
      </c>
      <c r="AV34" s="279">
        <f>AT34</f>
        <v>140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149" t="s">
        <v>44</v>
      </c>
      <c r="G35" s="222" t="s">
        <v>116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186</v>
      </c>
      <c r="V35" s="115">
        <v>1418</v>
      </c>
      <c r="W35" s="114">
        <v>43312</v>
      </c>
      <c r="X35" s="193" t="s">
        <v>184</v>
      </c>
      <c r="Y35" s="200">
        <v>43332</v>
      </c>
      <c r="Z35" s="193" t="s">
        <v>185</v>
      </c>
      <c r="AA35" s="200">
        <v>43320</v>
      </c>
      <c r="AB35" s="22">
        <v>0</v>
      </c>
      <c r="AC35" s="170">
        <v>0</v>
      </c>
      <c r="AD35" s="209">
        <v>55</v>
      </c>
      <c r="AE35" s="194">
        <v>10780</v>
      </c>
      <c r="AF35" s="209"/>
      <c r="AG35" s="194"/>
      <c r="AH35" s="209"/>
      <c r="AI35" s="194"/>
      <c r="AJ35" s="232"/>
      <c r="AK35" s="170">
        <f t="shared" si="6"/>
        <v>10780</v>
      </c>
      <c r="AL35" s="272">
        <v>0</v>
      </c>
      <c r="AM35" s="212">
        <v>0</v>
      </c>
      <c r="AN35" s="269">
        <v>55</v>
      </c>
      <c r="AO35" s="217">
        <v>0</v>
      </c>
      <c r="AP35" s="232"/>
      <c r="AQ35" s="229"/>
      <c r="AR35" s="212">
        <v>196</v>
      </c>
      <c r="AS35" s="212">
        <f t="shared" si="3"/>
        <v>0</v>
      </c>
      <c r="AT35" s="261">
        <f>55-15-40</f>
        <v>0</v>
      </c>
      <c r="AU35" s="262">
        <f t="shared" si="4"/>
        <v>0</v>
      </c>
      <c r="AV35" s="406">
        <f t="shared" si="5"/>
        <v>0</v>
      </c>
    </row>
    <row r="36" spans="1:48" s="62" customFormat="1" ht="26.25" customHeight="1">
      <c r="A36" s="59"/>
      <c r="B36" s="60"/>
      <c r="C36" s="60"/>
      <c r="D36" s="22"/>
      <c r="E36" s="79"/>
      <c r="F36" s="149" t="s">
        <v>44</v>
      </c>
      <c r="G36" s="222" t="s">
        <v>116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/>
      <c r="V36" s="115"/>
      <c r="W36" s="114"/>
      <c r="X36" s="193"/>
      <c r="Y36" s="200"/>
      <c r="Z36" s="193"/>
      <c r="AA36" s="200"/>
      <c r="AB36" s="22"/>
      <c r="AC36" s="170"/>
      <c r="AD36" s="209"/>
      <c r="AE36" s="194"/>
      <c r="AF36" s="209"/>
      <c r="AG36" s="194"/>
      <c r="AH36" s="209"/>
      <c r="AI36" s="194"/>
      <c r="AJ36" s="232"/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15</v>
      </c>
      <c r="AU36" s="228"/>
      <c r="AV36" s="279">
        <v>15</v>
      </c>
    </row>
    <row r="37" spans="1:48" s="62" customFormat="1" ht="27" hidden="1" customHeight="1">
      <c r="A37" s="59"/>
      <c r="B37" s="60"/>
      <c r="C37" s="60"/>
      <c r="D37" s="22"/>
      <c r="E37" s="79" t="s">
        <v>24</v>
      </c>
      <c r="F37" s="51" t="s">
        <v>52</v>
      </c>
      <c r="G37" s="275" t="s">
        <v>111</v>
      </c>
      <c r="H37" s="115" t="s">
        <v>91</v>
      </c>
      <c r="I37" s="115" t="s">
        <v>91</v>
      </c>
      <c r="J37" s="115"/>
      <c r="K37" s="115"/>
      <c r="L37" s="276"/>
      <c r="M37" s="277">
        <f t="shared" si="0"/>
        <v>0</v>
      </c>
      <c r="N37" s="276">
        <f t="shared" si="1"/>
        <v>0</v>
      </c>
      <c r="O37" s="115"/>
      <c r="P37" s="276"/>
      <c r="Q37" s="115"/>
      <c r="R37" s="276"/>
      <c r="S37" s="115"/>
      <c r="T37" s="276"/>
      <c r="U37" s="278" t="s">
        <v>112</v>
      </c>
      <c r="V37" s="115">
        <v>1625</v>
      </c>
      <c r="W37" s="114">
        <v>43087</v>
      </c>
      <c r="X37" s="115" t="s">
        <v>109</v>
      </c>
      <c r="Y37" s="221">
        <v>43109</v>
      </c>
      <c r="Z37" s="115" t="s">
        <v>110</v>
      </c>
      <c r="AA37" s="221">
        <v>43111</v>
      </c>
      <c r="AB37" s="22">
        <v>0</v>
      </c>
      <c r="AC37" s="170">
        <v>0</v>
      </c>
      <c r="AD37" s="208">
        <v>5</v>
      </c>
      <c r="AE37" s="170">
        <v>1010.9</v>
      </c>
      <c r="AF37" s="208"/>
      <c r="AG37" s="170"/>
      <c r="AH37" s="208"/>
      <c r="AI37" s="170"/>
      <c r="AJ37" s="232"/>
      <c r="AK37" s="170">
        <f t="shared" si="6"/>
        <v>1010.9</v>
      </c>
      <c r="AL37" s="270">
        <v>5</v>
      </c>
      <c r="AM37" s="170">
        <v>1010.9</v>
      </c>
      <c r="AN37" s="270">
        <v>0</v>
      </c>
      <c r="AO37" s="170">
        <f t="shared" si="2"/>
        <v>0</v>
      </c>
      <c r="AP37" s="233"/>
      <c r="AQ37" s="233"/>
      <c r="AR37" s="170"/>
      <c r="AS37" s="170">
        <f t="shared" si="3"/>
        <v>0</v>
      </c>
      <c r="AT37" s="208">
        <v>0</v>
      </c>
      <c r="AU37" s="170">
        <f t="shared" si="4"/>
        <v>0</v>
      </c>
      <c r="AV37" s="233">
        <f t="shared" si="5"/>
        <v>0</v>
      </c>
    </row>
    <row r="38" spans="1:48" s="62" customFormat="1" ht="27" hidden="1" customHeight="1">
      <c r="A38" s="59"/>
      <c r="B38" s="60"/>
      <c r="C38" s="60"/>
      <c r="D38" s="22"/>
      <c r="E38" s="79" t="s">
        <v>24</v>
      </c>
      <c r="F38" s="51" t="s">
        <v>52</v>
      </c>
      <c r="G38" s="275" t="s">
        <v>111</v>
      </c>
      <c r="H38" s="115" t="s">
        <v>91</v>
      </c>
      <c r="I38" s="115" t="s">
        <v>91</v>
      </c>
      <c r="J38" s="115">
        <v>2016</v>
      </c>
      <c r="K38" s="115">
        <v>2</v>
      </c>
      <c r="L38" s="276">
        <v>199.06</v>
      </c>
      <c r="M38" s="277">
        <f t="shared" si="0"/>
        <v>4032</v>
      </c>
      <c r="N38" s="276">
        <f t="shared" si="1"/>
        <v>802609.92</v>
      </c>
      <c r="O38" s="115">
        <v>4130</v>
      </c>
      <c r="P38" s="276">
        <v>1054554.2</v>
      </c>
      <c r="Q38" s="115"/>
      <c r="R38" s="276"/>
      <c r="S38" s="115"/>
      <c r="T38" s="276"/>
      <c r="U38" s="278" t="s">
        <v>112</v>
      </c>
      <c r="V38" s="115">
        <v>1583</v>
      </c>
      <c r="W38" s="114">
        <v>43082</v>
      </c>
      <c r="X38" s="115" t="s">
        <v>113</v>
      </c>
      <c r="Y38" s="221">
        <v>43109</v>
      </c>
      <c r="Z38" s="115" t="s">
        <v>110</v>
      </c>
      <c r="AA38" s="221">
        <v>43111</v>
      </c>
      <c r="AB38" s="22">
        <v>0</v>
      </c>
      <c r="AC38" s="170">
        <v>0</v>
      </c>
      <c r="AD38" s="208">
        <v>490</v>
      </c>
      <c r="AE38" s="170">
        <v>99068.2</v>
      </c>
      <c r="AF38" s="208"/>
      <c r="AG38" s="170"/>
      <c r="AH38" s="208"/>
      <c r="AI38" s="170"/>
      <c r="AJ38" s="232"/>
      <c r="AK38" s="170">
        <f t="shared" si="6"/>
        <v>99068.2</v>
      </c>
      <c r="AL38" s="270">
        <f>135+130+130</f>
        <v>395</v>
      </c>
      <c r="AM38" s="170">
        <f>AL38*AR38</f>
        <v>79861.100000000006</v>
      </c>
      <c r="AN38" s="270">
        <v>95</v>
      </c>
      <c r="AO38" s="170">
        <f t="shared" si="2"/>
        <v>19207.099999999991</v>
      </c>
      <c r="AP38" s="233"/>
      <c r="AQ38" s="233"/>
      <c r="AR38" s="170">
        <v>202.18</v>
      </c>
      <c r="AS38" s="170">
        <f t="shared" si="3"/>
        <v>0</v>
      </c>
      <c r="AT38" s="233">
        <v>0</v>
      </c>
      <c r="AU38" s="386">
        <f t="shared" si="4"/>
        <v>0</v>
      </c>
      <c r="AV38" s="233">
        <f t="shared" si="5"/>
        <v>0</v>
      </c>
    </row>
    <row r="39" spans="1:48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1745</v>
      </c>
      <c r="W39" s="114">
        <v>43096</v>
      </c>
      <c r="X39" s="115" t="s">
        <v>117</v>
      </c>
      <c r="Y39" s="221">
        <v>43109</v>
      </c>
      <c r="Z39" s="115" t="s">
        <v>118</v>
      </c>
      <c r="AA39" s="221">
        <v>43133</v>
      </c>
      <c r="AB39" s="22">
        <v>0</v>
      </c>
      <c r="AC39" s="170">
        <v>0</v>
      </c>
      <c r="AD39" s="208">
        <v>195</v>
      </c>
      <c r="AE39" s="170">
        <v>39425.1</v>
      </c>
      <c r="AF39" s="208"/>
      <c r="AG39" s="170"/>
      <c r="AH39" s="208"/>
      <c r="AI39" s="170"/>
      <c r="AJ39" s="232"/>
      <c r="AK39" s="170">
        <f t="shared" si="6"/>
        <v>39425.1</v>
      </c>
      <c r="AL39" s="270">
        <v>0</v>
      </c>
      <c r="AM39" s="170">
        <v>0</v>
      </c>
      <c r="AN39" s="270">
        <v>195</v>
      </c>
      <c r="AO39" s="170">
        <f t="shared" si="2"/>
        <v>39425.1</v>
      </c>
      <c r="AP39" s="233"/>
      <c r="AQ39" s="233"/>
      <c r="AR39" s="170">
        <v>202.18</v>
      </c>
      <c r="AS39" s="170">
        <f t="shared" si="3"/>
        <v>0</v>
      </c>
      <c r="AT39" s="233">
        <f>160-140-20</f>
        <v>0</v>
      </c>
      <c r="AU39" s="386">
        <f t="shared" si="4"/>
        <v>0</v>
      </c>
      <c r="AV39" s="233">
        <f t="shared" si="5"/>
        <v>0</v>
      </c>
    </row>
    <row r="40" spans="1:48" s="62" customFormat="1" ht="26.25" customHeight="1">
      <c r="A40" s="59"/>
      <c r="B40" s="60"/>
      <c r="C40" s="60"/>
      <c r="D40" s="22"/>
      <c r="E40" s="79" t="s">
        <v>24</v>
      </c>
      <c r="F40" s="53" t="s">
        <v>65</v>
      </c>
      <c r="G40" s="222" t="s">
        <v>111</v>
      </c>
      <c r="H40" s="193" t="s">
        <v>91</v>
      </c>
      <c r="I40" s="193" t="s">
        <v>91</v>
      </c>
      <c r="J40" s="193"/>
      <c r="K40" s="193"/>
      <c r="L40" s="243"/>
      <c r="M40" s="242">
        <f t="shared" si="0"/>
        <v>0</v>
      </c>
      <c r="N40" s="243">
        <f t="shared" si="1"/>
        <v>0</v>
      </c>
      <c r="O40" s="193"/>
      <c r="P40" s="243"/>
      <c r="Q40" s="193"/>
      <c r="R40" s="243"/>
      <c r="S40" s="193"/>
      <c r="T40" s="243"/>
      <c r="U40" s="203" t="s">
        <v>133</v>
      </c>
      <c r="V40" s="115">
        <v>426</v>
      </c>
      <c r="W40" s="114">
        <v>43164</v>
      </c>
      <c r="X40" s="193" t="s">
        <v>141</v>
      </c>
      <c r="Y40" s="200">
        <v>43164</v>
      </c>
      <c r="Z40" s="193" t="s">
        <v>142</v>
      </c>
      <c r="AA40" s="200">
        <v>43230</v>
      </c>
      <c r="AB40" s="22">
        <v>0</v>
      </c>
      <c r="AC40" s="170">
        <v>0</v>
      </c>
      <c r="AD40" s="209">
        <v>170</v>
      </c>
      <c r="AE40" s="194">
        <v>34370.6</v>
      </c>
      <c r="AF40" s="209"/>
      <c r="AG40" s="194"/>
      <c r="AH40" s="209"/>
      <c r="AI40" s="194"/>
      <c r="AJ40" s="232"/>
      <c r="AK40" s="170">
        <f t="shared" si="6"/>
        <v>34370.6</v>
      </c>
      <c r="AL40" s="272">
        <v>0</v>
      </c>
      <c r="AM40" s="212">
        <v>0</v>
      </c>
      <c r="AN40" s="269">
        <v>170</v>
      </c>
      <c r="AO40" s="217">
        <f t="shared" si="2"/>
        <v>34370.6</v>
      </c>
      <c r="AP40" s="232"/>
      <c r="AQ40" s="229"/>
      <c r="AR40" s="212">
        <v>202.18</v>
      </c>
      <c r="AS40" s="212">
        <f t="shared" si="3"/>
        <v>0</v>
      </c>
      <c r="AT40" s="261">
        <f>60-60</f>
        <v>0</v>
      </c>
      <c r="AU40" s="262">
        <f t="shared" si="4"/>
        <v>0</v>
      </c>
      <c r="AV40" s="406">
        <f t="shared" si="5"/>
        <v>0</v>
      </c>
    </row>
    <row r="41" spans="1:48" s="62" customFormat="1" ht="26.25" customHeight="1">
      <c r="A41" s="59"/>
      <c r="B41" s="60"/>
      <c r="C41" s="60"/>
      <c r="D41" s="22"/>
      <c r="E41" s="79" t="s">
        <v>24</v>
      </c>
      <c r="F41" s="53" t="s">
        <v>65</v>
      </c>
      <c r="G41" s="222" t="s">
        <v>111</v>
      </c>
      <c r="H41" s="193" t="s">
        <v>91</v>
      </c>
      <c r="I41" s="193" t="s">
        <v>91</v>
      </c>
      <c r="J41" s="193"/>
      <c r="K41" s="193"/>
      <c r="L41" s="243"/>
      <c r="M41" s="242">
        <f t="shared" si="0"/>
        <v>0</v>
      </c>
      <c r="N41" s="243">
        <f t="shared" si="1"/>
        <v>0</v>
      </c>
      <c r="O41" s="193"/>
      <c r="P41" s="243"/>
      <c r="Q41" s="193"/>
      <c r="R41" s="243"/>
      <c r="S41" s="193"/>
      <c r="T41" s="243"/>
      <c r="U41" s="203" t="s">
        <v>133</v>
      </c>
      <c r="V41" s="115">
        <v>234</v>
      </c>
      <c r="W41" s="114">
        <v>43143</v>
      </c>
      <c r="X41" s="193" t="s">
        <v>143</v>
      </c>
      <c r="Y41" s="200">
        <v>43164</v>
      </c>
      <c r="Z41" s="193"/>
      <c r="AA41" s="193"/>
      <c r="AB41" s="22">
        <v>0</v>
      </c>
      <c r="AC41" s="170">
        <v>0</v>
      </c>
      <c r="AD41" s="209">
        <v>320</v>
      </c>
      <c r="AE41" s="194">
        <v>64697.599999999999</v>
      </c>
      <c r="AF41" s="209"/>
      <c r="AG41" s="194"/>
      <c r="AH41" s="209"/>
      <c r="AI41" s="194"/>
      <c r="AJ41" s="232"/>
      <c r="AK41" s="170">
        <f t="shared" si="6"/>
        <v>64697.599999999999</v>
      </c>
      <c r="AL41" s="272">
        <v>0</v>
      </c>
      <c r="AM41" s="212">
        <v>0</v>
      </c>
      <c r="AN41" s="269">
        <v>320</v>
      </c>
      <c r="AO41" s="217">
        <f t="shared" si="2"/>
        <v>64697.599999999999</v>
      </c>
      <c r="AP41" s="232"/>
      <c r="AQ41" s="229"/>
      <c r="AR41" s="212">
        <v>202.18</v>
      </c>
      <c r="AS41" s="212">
        <f t="shared" si="3"/>
        <v>0</v>
      </c>
      <c r="AT41" s="261">
        <f>320-230</f>
        <v>90</v>
      </c>
      <c r="AU41" s="262">
        <f t="shared" si="4"/>
        <v>18196.2</v>
      </c>
      <c r="AV41" s="406">
        <f t="shared" si="5"/>
        <v>90</v>
      </c>
    </row>
    <row r="42" spans="1:48" s="62" customFormat="1" ht="26.25" customHeight="1">
      <c r="A42" s="59"/>
      <c r="B42" s="60"/>
      <c r="C42" s="60"/>
      <c r="D42" s="22"/>
      <c r="E42" s="79" t="s">
        <v>24</v>
      </c>
      <c r="F42" s="53" t="s">
        <v>65</v>
      </c>
      <c r="G42" s="222" t="s">
        <v>111</v>
      </c>
      <c r="H42" s="193" t="s">
        <v>91</v>
      </c>
      <c r="I42" s="193" t="s">
        <v>91</v>
      </c>
      <c r="J42" s="193"/>
      <c r="K42" s="193"/>
      <c r="L42" s="243"/>
      <c r="M42" s="242">
        <f t="shared" si="0"/>
        <v>0</v>
      </c>
      <c r="N42" s="243">
        <f t="shared" si="1"/>
        <v>0</v>
      </c>
      <c r="O42" s="193"/>
      <c r="P42" s="243"/>
      <c r="Q42" s="193"/>
      <c r="R42" s="243"/>
      <c r="S42" s="193"/>
      <c r="T42" s="243"/>
      <c r="U42" s="203" t="s">
        <v>132</v>
      </c>
      <c r="V42" s="115">
        <v>234</v>
      </c>
      <c r="W42" s="114">
        <v>43143</v>
      </c>
      <c r="X42" s="193" t="s">
        <v>143</v>
      </c>
      <c r="Y42" s="200">
        <v>43164</v>
      </c>
      <c r="Z42" s="193"/>
      <c r="AA42" s="193"/>
      <c r="AB42" s="22">
        <v>0</v>
      </c>
      <c r="AC42" s="170">
        <v>0</v>
      </c>
      <c r="AD42" s="209">
        <v>15</v>
      </c>
      <c r="AE42" s="194">
        <v>3032.7</v>
      </c>
      <c r="AF42" s="209"/>
      <c r="AG42" s="194"/>
      <c r="AH42" s="209"/>
      <c r="AI42" s="194"/>
      <c r="AJ42" s="232"/>
      <c r="AK42" s="170">
        <f t="shared" si="6"/>
        <v>3032.7</v>
      </c>
      <c r="AL42" s="272">
        <v>0</v>
      </c>
      <c r="AM42" s="212">
        <v>0</v>
      </c>
      <c r="AN42" s="269">
        <v>15</v>
      </c>
      <c r="AO42" s="217">
        <f t="shared" si="2"/>
        <v>3032.7</v>
      </c>
      <c r="AP42" s="232"/>
      <c r="AQ42" s="229"/>
      <c r="AR42" s="212">
        <v>202.18</v>
      </c>
      <c r="AS42" s="212">
        <f t="shared" si="3"/>
        <v>0</v>
      </c>
      <c r="AT42" s="227">
        <v>15</v>
      </c>
      <c r="AU42" s="228">
        <f t="shared" si="4"/>
        <v>3032.7000000000003</v>
      </c>
      <c r="AV42" s="279">
        <f t="shared" si="5"/>
        <v>15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356</v>
      </c>
      <c r="W43" s="114">
        <v>43159</v>
      </c>
      <c r="X43" s="193" t="s">
        <v>136</v>
      </c>
      <c r="Y43" s="200">
        <v>43164</v>
      </c>
      <c r="Z43" s="193"/>
      <c r="AA43" s="193"/>
      <c r="AB43" s="22">
        <v>0</v>
      </c>
      <c r="AC43" s="170">
        <v>0</v>
      </c>
      <c r="AD43" s="209">
        <v>170</v>
      </c>
      <c r="AE43" s="194">
        <v>34370.6</v>
      </c>
      <c r="AF43" s="209"/>
      <c r="AG43" s="194"/>
      <c r="AH43" s="209"/>
      <c r="AI43" s="194"/>
      <c r="AJ43" s="232"/>
      <c r="AK43" s="170">
        <f t="shared" si="6"/>
        <v>34370.6</v>
      </c>
      <c r="AL43" s="272">
        <v>0</v>
      </c>
      <c r="AM43" s="212">
        <v>0</v>
      </c>
      <c r="AN43" s="269">
        <v>170</v>
      </c>
      <c r="AO43" s="217">
        <f t="shared" si="2"/>
        <v>34370.6</v>
      </c>
      <c r="AP43" s="232"/>
      <c r="AQ43" s="229"/>
      <c r="AR43" s="212">
        <v>202.18</v>
      </c>
      <c r="AS43" s="212">
        <f t="shared" si="3"/>
        <v>0</v>
      </c>
      <c r="AT43" s="227">
        <v>170</v>
      </c>
      <c r="AU43" s="228">
        <f t="shared" si="4"/>
        <v>34370.6</v>
      </c>
      <c r="AV43" s="279">
        <f t="shared" si="5"/>
        <v>170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133</v>
      </c>
      <c r="V44" s="115">
        <v>260</v>
      </c>
      <c r="W44" s="114">
        <v>43145</v>
      </c>
      <c r="X44" s="193" t="s">
        <v>94</v>
      </c>
      <c r="Y44" s="200">
        <v>43164</v>
      </c>
      <c r="Z44" s="193"/>
      <c r="AA44" s="193"/>
      <c r="AB44" s="22">
        <v>0</v>
      </c>
      <c r="AC44" s="170">
        <v>0</v>
      </c>
      <c r="AD44" s="209">
        <v>665</v>
      </c>
      <c r="AE44" s="194">
        <v>134449.70000000001</v>
      </c>
      <c r="AF44" s="209"/>
      <c r="AG44" s="194"/>
      <c r="AH44" s="209"/>
      <c r="AI44" s="194"/>
      <c r="AJ44" s="232"/>
      <c r="AK44" s="170">
        <f t="shared" si="6"/>
        <v>134449.70000000001</v>
      </c>
      <c r="AL44" s="272">
        <v>0</v>
      </c>
      <c r="AM44" s="212">
        <v>0</v>
      </c>
      <c r="AN44" s="269">
        <v>665</v>
      </c>
      <c r="AO44" s="217">
        <f t="shared" si="2"/>
        <v>134449.70000000001</v>
      </c>
      <c r="AP44" s="232"/>
      <c r="AQ44" s="229"/>
      <c r="AR44" s="212">
        <v>202.18</v>
      </c>
      <c r="AS44" s="212">
        <f t="shared" si="3"/>
        <v>0</v>
      </c>
      <c r="AT44" s="227">
        <v>665</v>
      </c>
      <c r="AU44" s="228">
        <f t="shared" si="4"/>
        <v>134449.70000000001</v>
      </c>
      <c r="AV44" s="279">
        <f t="shared" si="5"/>
        <v>665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124</v>
      </c>
      <c r="V45" s="115">
        <v>68</v>
      </c>
      <c r="W45" s="114">
        <v>43116</v>
      </c>
      <c r="X45" s="193" t="s">
        <v>125</v>
      </c>
      <c r="Y45" s="200">
        <v>43130</v>
      </c>
      <c r="Z45" s="193"/>
      <c r="AA45" s="193"/>
      <c r="AB45" s="22">
        <v>0</v>
      </c>
      <c r="AC45" s="170">
        <v>0</v>
      </c>
      <c r="AD45" s="209">
        <v>335</v>
      </c>
      <c r="AE45" s="194">
        <v>67730.3</v>
      </c>
      <c r="AF45" s="209"/>
      <c r="AG45" s="194"/>
      <c r="AH45" s="209"/>
      <c r="AI45" s="194"/>
      <c r="AJ45" s="232"/>
      <c r="AK45" s="170">
        <f t="shared" si="6"/>
        <v>67730.3</v>
      </c>
      <c r="AL45" s="272">
        <v>0</v>
      </c>
      <c r="AM45" s="212">
        <v>0</v>
      </c>
      <c r="AN45" s="269">
        <v>335</v>
      </c>
      <c r="AO45" s="217">
        <f t="shared" si="2"/>
        <v>67730.3</v>
      </c>
      <c r="AP45" s="232"/>
      <c r="AQ45" s="229"/>
      <c r="AR45" s="212">
        <v>202.18</v>
      </c>
      <c r="AS45" s="212">
        <f t="shared" si="3"/>
        <v>0</v>
      </c>
      <c r="AT45" s="227">
        <v>155</v>
      </c>
      <c r="AU45" s="228">
        <f t="shared" si="4"/>
        <v>31337.9</v>
      </c>
      <c r="AV45" s="279">
        <f t="shared" si="5"/>
        <v>155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124</v>
      </c>
      <c r="V46" s="115">
        <v>135</v>
      </c>
      <c r="W46" s="114">
        <v>42761</v>
      </c>
      <c r="X46" s="193" t="s">
        <v>126</v>
      </c>
      <c r="Y46" s="200">
        <v>43130</v>
      </c>
      <c r="Z46" s="193"/>
      <c r="AA46" s="193"/>
      <c r="AB46" s="22">
        <v>0</v>
      </c>
      <c r="AC46" s="170">
        <v>0</v>
      </c>
      <c r="AD46" s="209">
        <v>155</v>
      </c>
      <c r="AE46" s="194">
        <v>31337.9</v>
      </c>
      <c r="AF46" s="209"/>
      <c r="AG46" s="194"/>
      <c r="AH46" s="209"/>
      <c r="AI46" s="194"/>
      <c r="AJ46" s="232"/>
      <c r="AK46" s="170">
        <f t="shared" si="6"/>
        <v>31337.9</v>
      </c>
      <c r="AL46" s="272">
        <v>0</v>
      </c>
      <c r="AM46" s="212">
        <v>0</v>
      </c>
      <c r="AN46" s="269">
        <v>155</v>
      </c>
      <c r="AO46" s="217">
        <f t="shared" si="2"/>
        <v>31337.9</v>
      </c>
      <c r="AP46" s="232"/>
      <c r="AQ46" s="229"/>
      <c r="AR46" s="212">
        <v>202.18</v>
      </c>
      <c r="AS46" s="212">
        <f t="shared" si="3"/>
        <v>0</v>
      </c>
      <c r="AT46" s="227">
        <v>155</v>
      </c>
      <c r="AU46" s="228">
        <f t="shared" si="4"/>
        <v>31337.9</v>
      </c>
      <c r="AV46" s="279">
        <f t="shared" si="5"/>
        <v>155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3" t="s">
        <v>65</v>
      </c>
      <c r="G47" s="222" t="s">
        <v>111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132</v>
      </c>
      <c r="V47" s="115">
        <v>108</v>
      </c>
      <c r="W47" s="114">
        <v>43119</v>
      </c>
      <c r="X47" s="193" t="s">
        <v>131</v>
      </c>
      <c r="Y47" s="200">
        <v>43130</v>
      </c>
      <c r="Z47" s="193"/>
      <c r="AA47" s="193"/>
      <c r="AB47" s="22">
        <v>0</v>
      </c>
      <c r="AC47" s="170">
        <v>0</v>
      </c>
      <c r="AD47" s="209">
        <v>340</v>
      </c>
      <c r="AE47" s="194">
        <v>68741.2</v>
      </c>
      <c r="AF47" s="209"/>
      <c r="AG47" s="194"/>
      <c r="AH47" s="209"/>
      <c r="AI47" s="194"/>
      <c r="AJ47" s="232"/>
      <c r="AK47" s="170">
        <f t="shared" si="6"/>
        <v>68741.2</v>
      </c>
      <c r="AL47" s="272">
        <v>0</v>
      </c>
      <c r="AM47" s="212">
        <v>0</v>
      </c>
      <c r="AN47" s="269">
        <v>340</v>
      </c>
      <c r="AO47" s="217">
        <f t="shared" si="2"/>
        <v>68741.2</v>
      </c>
      <c r="AP47" s="232"/>
      <c r="AQ47" s="229"/>
      <c r="AR47" s="212">
        <v>202.18</v>
      </c>
      <c r="AS47" s="212">
        <f t="shared" si="3"/>
        <v>0</v>
      </c>
      <c r="AT47" s="227">
        <v>340</v>
      </c>
      <c r="AU47" s="228">
        <f t="shared" si="4"/>
        <v>68741.2</v>
      </c>
      <c r="AV47" s="279">
        <f t="shared" si="5"/>
        <v>340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161</v>
      </c>
      <c r="V48" s="115">
        <v>659</v>
      </c>
      <c r="W48" s="114">
        <v>43201</v>
      </c>
      <c r="X48" s="193" t="s">
        <v>159</v>
      </c>
      <c r="Y48" s="200">
        <v>43213</v>
      </c>
      <c r="Z48" s="193" t="s">
        <v>160</v>
      </c>
      <c r="AA48" s="200">
        <v>43255</v>
      </c>
      <c r="AB48" s="22">
        <v>0</v>
      </c>
      <c r="AC48" s="170">
        <v>0</v>
      </c>
      <c r="AD48" s="209">
        <v>245</v>
      </c>
      <c r="AE48" s="194">
        <v>49534.1</v>
      </c>
      <c r="AF48" s="209"/>
      <c r="AG48" s="194"/>
      <c r="AH48" s="209"/>
      <c r="AI48" s="194"/>
      <c r="AJ48" s="232"/>
      <c r="AK48" s="170">
        <f t="shared" si="6"/>
        <v>49534.1</v>
      </c>
      <c r="AL48" s="272">
        <v>0</v>
      </c>
      <c r="AM48" s="212">
        <v>0</v>
      </c>
      <c r="AN48" s="269">
        <v>245</v>
      </c>
      <c r="AO48" s="217">
        <f t="shared" si="2"/>
        <v>49534.1</v>
      </c>
      <c r="AP48" s="232"/>
      <c r="AQ48" s="229"/>
      <c r="AR48" s="212">
        <v>202.18</v>
      </c>
      <c r="AS48" s="212">
        <f t="shared" si="3"/>
        <v>0</v>
      </c>
      <c r="AT48" s="227">
        <v>245</v>
      </c>
      <c r="AU48" s="228">
        <f t="shared" si="4"/>
        <v>49534.1</v>
      </c>
      <c r="AV48" s="279">
        <f t="shared" si="5"/>
        <v>245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161</v>
      </c>
      <c r="V49" s="115">
        <v>834</v>
      </c>
      <c r="W49" s="114">
        <v>43222</v>
      </c>
      <c r="X49" s="193" t="s">
        <v>162</v>
      </c>
      <c r="Y49" s="200">
        <v>43242</v>
      </c>
      <c r="Z49" s="193"/>
      <c r="AA49" s="193"/>
      <c r="AB49" s="22">
        <v>0</v>
      </c>
      <c r="AC49" s="170">
        <v>0</v>
      </c>
      <c r="AD49" s="209">
        <v>555</v>
      </c>
      <c r="AE49" s="194">
        <v>112209.9</v>
      </c>
      <c r="AF49" s="209"/>
      <c r="AG49" s="194"/>
      <c r="AH49" s="209"/>
      <c r="AI49" s="194"/>
      <c r="AJ49" s="232"/>
      <c r="AK49" s="170">
        <f t="shared" si="6"/>
        <v>112209.9</v>
      </c>
      <c r="AL49" s="272">
        <v>0</v>
      </c>
      <c r="AM49" s="212">
        <v>0</v>
      </c>
      <c r="AN49" s="269">
        <v>555</v>
      </c>
      <c r="AO49" s="217">
        <f t="shared" si="2"/>
        <v>112209.9</v>
      </c>
      <c r="AP49" s="232"/>
      <c r="AQ49" s="229"/>
      <c r="AR49" s="212">
        <v>202.18</v>
      </c>
      <c r="AS49" s="212">
        <f t="shared" si="3"/>
        <v>0</v>
      </c>
      <c r="AT49" s="227">
        <v>555</v>
      </c>
      <c r="AU49" s="228">
        <f t="shared" si="4"/>
        <v>112209.90000000001</v>
      </c>
      <c r="AV49" s="279">
        <f t="shared" si="5"/>
        <v>555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175</v>
      </c>
      <c r="V50" s="115">
        <v>1006</v>
      </c>
      <c r="W50" s="114">
        <v>43244</v>
      </c>
      <c r="X50" s="193" t="s">
        <v>179</v>
      </c>
      <c r="Y50" s="200">
        <v>43285</v>
      </c>
      <c r="Z50" s="193"/>
      <c r="AA50" s="193"/>
      <c r="AB50" s="22">
        <v>0</v>
      </c>
      <c r="AC50" s="170">
        <v>0</v>
      </c>
      <c r="AD50" s="209">
        <v>45</v>
      </c>
      <c r="AE50" s="194">
        <v>8820</v>
      </c>
      <c r="AF50" s="209"/>
      <c r="AG50" s="194"/>
      <c r="AH50" s="209"/>
      <c r="AI50" s="194"/>
      <c r="AJ50" s="232"/>
      <c r="AK50" s="170">
        <f t="shared" si="6"/>
        <v>8820</v>
      </c>
      <c r="AL50" s="272">
        <v>0</v>
      </c>
      <c r="AM50" s="212">
        <v>0</v>
      </c>
      <c r="AN50" s="269">
        <v>45</v>
      </c>
      <c r="AO50" s="217">
        <f t="shared" si="2"/>
        <v>8820</v>
      </c>
      <c r="AP50" s="232"/>
      <c r="AQ50" s="229"/>
      <c r="AR50" s="212">
        <v>196</v>
      </c>
      <c r="AS50" s="212">
        <f t="shared" si="3"/>
        <v>0</v>
      </c>
      <c r="AT50" s="227">
        <v>45</v>
      </c>
      <c r="AU50" s="228">
        <f t="shared" si="4"/>
        <v>8820</v>
      </c>
      <c r="AV50" s="279">
        <f t="shared" si="5"/>
        <v>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175</v>
      </c>
      <c r="V51" s="115">
        <v>1006</v>
      </c>
      <c r="W51" s="114">
        <v>43244</v>
      </c>
      <c r="X51" s="193" t="s">
        <v>179</v>
      </c>
      <c r="Y51" s="200">
        <v>43285</v>
      </c>
      <c r="Z51" s="193"/>
      <c r="AA51" s="193"/>
      <c r="AB51" s="22">
        <v>0</v>
      </c>
      <c r="AC51" s="170">
        <v>0</v>
      </c>
      <c r="AD51" s="209">
        <v>55</v>
      </c>
      <c r="AE51" s="194">
        <v>11119.9</v>
      </c>
      <c r="AF51" s="209"/>
      <c r="AG51" s="194"/>
      <c r="AH51" s="209"/>
      <c r="AI51" s="194"/>
      <c r="AJ51" s="232"/>
      <c r="AK51" s="170">
        <f t="shared" si="6"/>
        <v>11119.9</v>
      </c>
      <c r="AL51" s="272">
        <v>0</v>
      </c>
      <c r="AM51" s="212">
        <v>0</v>
      </c>
      <c r="AN51" s="269">
        <v>55</v>
      </c>
      <c r="AO51" s="217">
        <f t="shared" si="2"/>
        <v>11119.9</v>
      </c>
      <c r="AP51" s="232"/>
      <c r="AQ51" s="229"/>
      <c r="AR51" s="212">
        <v>202.18</v>
      </c>
      <c r="AS51" s="212">
        <f t="shared" si="3"/>
        <v>0</v>
      </c>
      <c r="AT51" s="227">
        <v>55</v>
      </c>
      <c r="AU51" s="228">
        <f t="shared" si="4"/>
        <v>11119.9</v>
      </c>
      <c r="AV51" s="279">
        <f t="shared" si="5"/>
        <v>55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22">
        <v>0</v>
      </c>
      <c r="AC52" s="170">
        <v>0</v>
      </c>
      <c r="AD52" s="209">
        <v>210</v>
      </c>
      <c r="AE52" s="194">
        <v>42457.8</v>
      </c>
      <c r="AF52" s="209"/>
      <c r="AG52" s="194"/>
      <c r="AH52" s="209"/>
      <c r="AI52" s="194"/>
      <c r="AJ52" s="232"/>
      <c r="AK52" s="170">
        <f t="shared" si="6"/>
        <v>42457.8</v>
      </c>
      <c r="AL52" s="272">
        <v>0</v>
      </c>
      <c r="AM52" s="212">
        <v>0</v>
      </c>
      <c r="AN52" s="269">
        <v>210</v>
      </c>
      <c r="AO52" s="217">
        <f t="shared" si="2"/>
        <v>42457.8</v>
      </c>
      <c r="AP52" s="232"/>
      <c r="AQ52" s="229"/>
      <c r="AR52" s="212">
        <v>202.18</v>
      </c>
      <c r="AS52" s="212">
        <f t="shared" si="3"/>
        <v>0</v>
      </c>
      <c r="AT52" s="227">
        <v>210</v>
      </c>
      <c r="AU52" s="228">
        <f t="shared" si="4"/>
        <v>42457.8</v>
      </c>
      <c r="AV52" s="279">
        <f t="shared" si="5"/>
        <v>210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161</v>
      </c>
      <c r="V53" s="115">
        <v>1053</v>
      </c>
      <c r="W53" s="114">
        <v>43255</v>
      </c>
      <c r="X53" s="193" t="s">
        <v>177</v>
      </c>
      <c r="Y53" s="200">
        <v>43285</v>
      </c>
      <c r="Z53" s="193" t="s">
        <v>178</v>
      </c>
      <c r="AA53" s="200">
        <v>43269</v>
      </c>
      <c r="AB53" s="22">
        <v>0</v>
      </c>
      <c r="AC53" s="170">
        <v>0</v>
      </c>
      <c r="AD53" s="209">
        <v>105</v>
      </c>
      <c r="AE53" s="194">
        <v>21228.9</v>
      </c>
      <c r="AF53" s="209"/>
      <c r="AG53" s="194"/>
      <c r="AH53" s="209"/>
      <c r="AI53" s="194"/>
      <c r="AJ53" s="232"/>
      <c r="AK53" s="170">
        <f t="shared" si="6"/>
        <v>21228.9</v>
      </c>
      <c r="AL53" s="272">
        <v>0</v>
      </c>
      <c r="AM53" s="212">
        <v>0</v>
      </c>
      <c r="AN53" s="269">
        <v>105</v>
      </c>
      <c r="AO53" s="217">
        <f t="shared" si="2"/>
        <v>21228.9</v>
      </c>
      <c r="AP53" s="232"/>
      <c r="AQ53" s="229"/>
      <c r="AR53" s="212">
        <v>202.18</v>
      </c>
      <c r="AS53" s="212">
        <f t="shared" si="3"/>
        <v>0</v>
      </c>
      <c r="AT53" s="227">
        <v>105</v>
      </c>
      <c r="AU53" s="228">
        <f t="shared" si="4"/>
        <v>21228.9</v>
      </c>
      <c r="AV53" s="279">
        <f t="shared" si="5"/>
        <v>105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187</v>
      </c>
      <c r="V54" s="115">
        <v>1418</v>
      </c>
      <c r="W54" s="114">
        <v>43312</v>
      </c>
      <c r="X54" s="193" t="s">
        <v>184</v>
      </c>
      <c r="Y54" s="200">
        <v>43332</v>
      </c>
      <c r="Z54" s="193" t="s">
        <v>185</v>
      </c>
      <c r="AA54" s="200">
        <v>43320</v>
      </c>
      <c r="AB54" s="22">
        <v>0</v>
      </c>
      <c r="AC54" s="170">
        <v>0</v>
      </c>
      <c r="AD54" s="209">
        <v>30</v>
      </c>
      <c r="AE54" s="194">
        <v>5880</v>
      </c>
      <c r="AF54" s="209"/>
      <c r="AG54" s="194"/>
      <c r="AH54" s="209"/>
      <c r="AI54" s="194"/>
      <c r="AJ54" s="232"/>
      <c r="AK54" s="170">
        <f t="shared" si="6"/>
        <v>5880</v>
      </c>
      <c r="AL54" s="272">
        <v>0</v>
      </c>
      <c r="AM54" s="212">
        <v>0</v>
      </c>
      <c r="AN54" s="269">
        <v>30</v>
      </c>
      <c r="AO54" s="217">
        <v>0</v>
      </c>
      <c r="AP54" s="232"/>
      <c r="AQ54" s="229"/>
      <c r="AR54" s="212">
        <v>196</v>
      </c>
      <c r="AS54" s="212">
        <f t="shared" si="3"/>
        <v>0</v>
      </c>
      <c r="AT54" s="227">
        <v>30</v>
      </c>
      <c r="AU54" s="228">
        <f t="shared" si="4"/>
        <v>5880</v>
      </c>
      <c r="AV54" s="279">
        <f t="shared" si="5"/>
        <v>30</v>
      </c>
    </row>
    <row r="55" spans="1:48" s="62" customFormat="1" ht="26.25" customHeight="1">
      <c r="A55" s="59"/>
      <c r="B55" s="60"/>
      <c r="C55" s="60"/>
      <c r="D55" s="22"/>
      <c r="E55" s="79"/>
      <c r="F55" s="53" t="s">
        <v>65</v>
      </c>
      <c r="G55" s="222" t="s">
        <v>111</v>
      </c>
      <c r="H55" s="193"/>
      <c r="I55" s="193"/>
      <c r="J55" s="193"/>
      <c r="K55" s="193"/>
      <c r="L55" s="243"/>
      <c r="M55" s="242"/>
      <c r="N55" s="243"/>
      <c r="O55" s="193"/>
      <c r="P55" s="243"/>
      <c r="Q55" s="193"/>
      <c r="R55" s="243"/>
      <c r="S55" s="193"/>
      <c r="T55" s="243"/>
      <c r="U55" s="203"/>
      <c r="V55" s="115"/>
      <c r="W55" s="114"/>
      <c r="X55" s="193"/>
      <c r="Y55" s="200"/>
      <c r="Z55" s="193"/>
      <c r="AA55" s="200"/>
      <c r="AB55" s="22"/>
      <c r="AC55" s="170"/>
      <c r="AD55" s="209"/>
      <c r="AE55" s="194"/>
      <c r="AF55" s="209"/>
      <c r="AG55" s="194"/>
      <c r="AH55" s="209"/>
      <c r="AI55" s="194"/>
      <c r="AJ55" s="232"/>
      <c r="AK55" s="170"/>
      <c r="AL55" s="272"/>
      <c r="AM55" s="212"/>
      <c r="AN55" s="269"/>
      <c r="AO55" s="217"/>
      <c r="AP55" s="232"/>
      <c r="AQ55" s="229"/>
      <c r="AR55" s="212"/>
      <c r="AS55" s="212"/>
      <c r="AT55" s="227">
        <v>30</v>
      </c>
      <c r="AU55" s="228"/>
      <c r="AV55" s="279">
        <f t="shared" si="5"/>
        <v>30</v>
      </c>
    </row>
    <row r="56" spans="1:48" s="62" customFormat="1" ht="26.25" hidden="1" customHeight="1">
      <c r="A56" s="59"/>
      <c r="B56" s="60"/>
      <c r="C56" s="60"/>
      <c r="D56" s="22"/>
      <c r="E56" s="79" t="s">
        <v>24</v>
      </c>
      <c r="F56" s="51" t="s">
        <v>249</v>
      </c>
      <c r="G56" s="275" t="s">
        <v>146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>
        <v>250</v>
      </c>
      <c r="P56" s="276">
        <v>66042.58</v>
      </c>
      <c r="Q56" s="115"/>
      <c r="R56" s="276"/>
      <c r="S56" s="115"/>
      <c r="T56" s="276"/>
      <c r="U56" s="278" t="s">
        <v>181</v>
      </c>
      <c r="V56" s="115">
        <v>1405</v>
      </c>
      <c r="W56" s="114">
        <v>43052</v>
      </c>
      <c r="X56" s="115" t="s">
        <v>182</v>
      </c>
      <c r="Y56" s="221">
        <v>43201</v>
      </c>
      <c r="Z56" s="115"/>
      <c r="AA56" s="115"/>
      <c r="AB56" s="22">
        <v>0</v>
      </c>
      <c r="AC56" s="170">
        <v>0</v>
      </c>
      <c r="AD56" s="208">
        <v>125</v>
      </c>
      <c r="AE56" s="170">
        <v>26255</v>
      </c>
      <c r="AF56" s="208"/>
      <c r="AG56" s="170"/>
      <c r="AH56" s="208"/>
      <c r="AI56" s="170"/>
      <c r="AJ56" s="232"/>
      <c r="AK56" s="170">
        <f t="shared" si="6"/>
        <v>26255</v>
      </c>
      <c r="AL56" s="270">
        <f>63+62</f>
        <v>125</v>
      </c>
      <c r="AM56" s="170">
        <v>26255</v>
      </c>
      <c r="AN56" s="270">
        <v>0</v>
      </c>
      <c r="AO56" s="170">
        <f t="shared" si="2"/>
        <v>0</v>
      </c>
      <c r="AP56" s="233"/>
      <c r="AQ56" s="233"/>
      <c r="AR56" s="170">
        <v>210.04</v>
      </c>
      <c r="AS56" s="170">
        <f t="shared" si="3"/>
        <v>0</v>
      </c>
      <c r="AT56" s="208">
        <v>0</v>
      </c>
      <c r="AU56" s="170">
        <f t="shared" si="4"/>
        <v>0</v>
      </c>
      <c r="AV56" s="233">
        <f t="shared" si="5"/>
        <v>0</v>
      </c>
    </row>
    <row r="57" spans="1:48" s="62" customFormat="1" ht="26.25" hidden="1" customHeight="1">
      <c r="A57" s="59"/>
      <c r="B57" s="60"/>
      <c r="C57" s="60"/>
      <c r="D57" s="22"/>
      <c r="E57" s="79" t="s">
        <v>24</v>
      </c>
      <c r="F57" s="51" t="s">
        <v>249</v>
      </c>
      <c r="G57" s="275" t="s">
        <v>146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145</v>
      </c>
      <c r="V57" s="115">
        <v>1381</v>
      </c>
      <c r="W57" s="114">
        <v>43047</v>
      </c>
      <c r="X57" s="115" t="s">
        <v>144</v>
      </c>
      <c r="Y57" s="221">
        <v>43201</v>
      </c>
      <c r="Z57" s="115"/>
      <c r="AA57" s="115"/>
      <c r="AB57" s="22">
        <v>0</v>
      </c>
      <c r="AC57" s="170">
        <v>0</v>
      </c>
      <c r="AD57" s="208">
        <v>80</v>
      </c>
      <c r="AE57" s="170">
        <v>16803.2</v>
      </c>
      <c r="AF57" s="208"/>
      <c r="AG57" s="170"/>
      <c r="AH57" s="208"/>
      <c r="AI57" s="170"/>
      <c r="AJ57" s="232"/>
      <c r="AK57" s="170">
        <f t="shared" si="6"/>
        <v>16803.2</v>
      </c>
      <c r="AL57" s="270">
        <v>80</v>
      </c>
      <c r="AM57" s="170">
        <v>16803.2</v>
      </c>
      <c r="AN57" s="270">
        <v>0</v>
      </c>
      <c r="AO57" s="170">
        <f t="shared" si="2"/>
        <v>0</v>
      </c>
      <c r="AP57" s="233"/>
      <c r="AQ57" s="233"/>
      <c r="AR57" s="170">
        <f>AM57/AL57</f>
        <v>210.04000000000002</v>
      </c>
      <c r="AS57" s="170">
        <f t="shared" si="3"/>
        <v>0</v>
      </c>
      <c r="AT57" s="208">
        <v>0</v>
      </c>
      <c r="AU57" s="170">
        <f t="shared" si="4"/>
        <v>0</v>
      </c>
      <c r="AV57" s="233">
        <f t="shared" si="5"/>
        <v>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148</v>
      </c>
      <c r="V58" s="115">
        <v>546</v>
      </c>
      <c r="W58" s="114">
        <v>43182</v>
      </c>
      <c r="X58" s="115" t="s">
        <v>149</v>
      </c>
      <c r="Y58" s="221">
        <v>43201</v>
      </c>
      <c r="Z58" s="115" t="s">
        <v>147</v>
      </c>
      <c r="AA58" s="221">
        <v>43252</v>
      </c>
      <c r="AB58" s="22">
        <v>0</v>
      </c>
      <c r="AC58" s="170">
        <v>0</v>
      </c>
      <c r="AD58" s="208">
        <v>10</v>
      </c>
      <c r="AE58" s="170">
        <v>2038.7</v>
      </c>
      <c r="AF58" s="208"/>
      <c r="AG58" s="170"/>
      <c r="AH58" s="208"/>
      <c r="AI58" s="170"/>
      <c r="AJ58" s="232"/>
      <c r="AK58" s="170">
        <f t="shared" si="6"/>
        <v>2038.7</v>
      </c>
      <c r="AL58" s="270">
        <v>10</v>
      </c>
      <c r="AM58" s="170">
        <v>2038.7</v>
      </c>
      <c r="AN58" s="270">
        <v>0</v>
      </c>
      <c r="AO58" s="170">
        <f t="shared" si="2"/>
        <v>0</v>
      </c>
      <c r="AP58" s="233"/>
      <c r="AQ58" s="233"/>
      <c r="AR58" s="170">
        <f>AM58/AL58</f>
        <v>203.87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162" t="s">
        <v>68</v>
      </c>
      <c r="G59" s="222" t="s">
        <v>146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148</v>
      </c>
      <c r="V59" s="115">
        <v>834</v>
      </c>
      <c r="W59" s="114">
        <v>43222</v>
      </c>
      <c r="X59" s="193" t="s">
        <v>162</v>
      </c>
      <c r="Y59" s="200">
        <v>43242</v>
      </c>
      <c r="Z59" s="193"/>
      <c r="AA59" s="193"/>
      <c r="AB59" s="22">
        <v>0</v>
      </c>
      <c r="AC59" s="170">
        <v>0</v>
      </c>
      <c r="AD59" s="209">
        <v>10</v>
      </c>
      <c r="AE59" s="194">
        <v>2100.4</v>
      </c>
      <c r="AF59" s="209"/>
      <c r="AG59" s="194"/>
      <c r="AH59" s="209"/>
      <c r="AI59" s="194"/>
      <c r="AJ59" s="232"/>
      <c r="AK59" s="170">
        <f t="shared" si="6"/>
        <v>2100.4</v>
      </c>
      <c r="AL59" s="272">
        <v>0</v>
      </c>
      <c r="AM59" s="212">
        <v>0</v>
      </c>
      <c r="AN59" s="269">
        <v>10</v>
      </c>
      <c r="AO59" s="217">
        <f t="shared" si="2"/>
        <v>2100.4</v>
      </c>
      <c r="AP59" s="232"/>
      <c r="AQ59" s="229"/>
      <c r="AR59" s="212">
        <v>210.04</v>
      </c>
      <c r="AS59" s="212">
        <f t="shared" si="3"/>
        <v>0</v>
      </c>
      <c r="AT59" s="227">
        <v>10</v>
      </c>
      <c r="AU59" s="228">
        <f t="shared" si="4"/>
        <v>2100.4</v>
      </c>
      <c r="AV59" s="279">
        <f t="shared" si="5"/>
        <v>10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162" t="s">
        <v>68</v>
      </c>
      <c r="G60" s="222" t="s">
        <v>146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148</v>
      </c>
      <c r="V60" s="115">
        <v>1006</v>
      </c>
      <c r="W60" s="114">
        <v>43244</v>
      </c>
      <c r="X60" s="193" t="s">
        <v>179</v>
      </c>
      <c r="Y60" s="200">
        <v>43285</v>
      </c>
      <c r="Z60" s="193"/>
      <c r="AA60" s="193"/>
      <c r="AB60" s="22">
        <v>0</v>
      </c>
      <c r="AC60" s="170">
        <v>0</v>
      </c>
      <c r="AD60" s="209">
        <v>5</v>
      </c>
      <c r="AE60" s="194">
        <v>1019.35</v>
      </c>
      <c r="AF60" s="209"/>
      <c r="AG60" s="194"/>
      <c r="AH60" s="209"/>
      <c r="AI60" s="194"/>
      <c r="AJ60" s="232"/>
      <c r="AK60" s="170">
        <f t="shared" si="6"/>
        <v>1019.35</v>
      </c>
      <c r="AL60" s="272">
        <v>0</v>
      </c>
      <c r="AM60" s="212">
        <v>0</v>
      </c>
      <c r="AN60" s="269">
        <v>5</v>
      </c>
      <c r="AO60" s="217">
        <f t="shared" si="2"/>
        <v>1019.35</v>
      </c>
      <c r="AP60" s="232"/>
      <c r="AQ60" s="229"/>
      <c r="AR60" s="212">
        <v>203.87</v>
      </c>
      <c r="AS60" s="212">
        <f t="shared" si="3"/>
        <v>0</v>
      </c>
      <c r="AT60" s="227">
        <v>5</v>
      </c>
      <c r="AU60" s="228">
        <f t="shared" si="4"/>
        <v>1019.35</v>
      </c>
      <c r="AV60" s="279">
        <f t="shared" si="5"/>
        <v>5</v>
      </c>
    </row>
    <row r="61" spans="1:48" s="62" customFormat="1" ht="25.5" hidden="1" customHeight="1">
      <c r="A61" s="59"/>
      <c r="B61" s="60"/>
      <c r="C61" s="60"/>
      <c r="D61" s="22"/>
      <c r="E61" s="79" t="s">
        <v>24</v>
      </c>
      <c r="F61" s="51" t="s">
        <v>247</v>
      </c>
      <c r="G61" s="275" t="s">
        <v>114</v>
      </c>
      <c r="H61" s="115" t="s">
        <v>91</v>
      </c>
      <c r="I61" s="115" t="s">
        <v>91</v>
      </c>
      <c r="J61" s="115">
        <v>360</v>
      </c>
      <c r="K61" s="115">
        <v>1</v>
      </c>
      <c r="L61" s="276">
        <v>303.16000000000003</v>
      </c>
      <c r="M61" s="277">
        <f t="shared" si="0"/>
        <v>360</v>
      </c>
      <c r="N61" s="276">
        <f t="shared" si="1"/>
        <v>109137.60000000001</v>
      </c>
      <c r="O61" s="115">
        <v>180</v>
      </c>
      <c r="P61" s="276">
        <v>49667.4</v>
      </c>
      <c r="Q61" s="115">
        <v>360</v>
      </c>
      <c r="R61" s="276">
        <v>107470.8</v>
      </c>
      <c r="S61" s="115">
        <v>90</v>
      </c>
      <c r="T61" s="276">
        <v>27284.400000000001</v>
      </c>
      <c r="U61" s="278" t="s">
        <v>115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8</v>
      </c>
      <c r="AE61" s="170">
        <v>2388</v>
      </c>
      <c r="AF61" s="208"/>
      <c r="AG61" s="170"/>
      <c r="AH61" s="208"/>
      <c r="AI61" s="170"/>
      <c r="AJ61" s="232"/>
      <c r="AK61" s="170">
        <f t="shared" si="6"/>
        <v>2388</v>
      </c>
      <c r="AL61" s="270">
        <v>0</v>
      </c>
      <c r="AM61" s="170">
        <v>0</v>
      </c>
      <c r="AN61" s="270">
        <v>8</v>
      </c>
      <c r="AO61" s="170">
        <f t="shared" si="2"/>
        <v>2388</v>
      </c>
      <c r="AP61" s="233"/>
      <c r="AQ61" s="233"/>
      <c r="AR61" s="170">
        <v>298.5</v>
      </c>
      <c r="AS61" s="170">
        <f t="shared" si="3"/>
        <v>0</v>
      </c>
      <c r="AT61" s="233">
        <f>8-8</f>
        <v>0</v>
      </c>
      <c r="AU61" s="386">
        <f t="shared" si="4"/>
        <v>0</v>
      </c>
      <c r="AV61" s="233">
        <f t="shared" si="5"/>
        <v>0</v>
      </c>
    </row>
    <row r="62" spans="1:48" s="62" customFormat="1" ht="25.5" hidden="1" customHeight="1">
      <c r="A62" s="59"/>
      <c r="B62" s="60"/>
      <c r="C62" s="60"/>
      <c r="D62" s="22"/>
      <c r="E62" s="79" t="s">
        <v>24</v>
      </c>
      <c r="F62" s="51" t="s">
        <v>247</v>
      </c>
      <c r="G62" s="275" t="s">
        <v>114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137</v>
      </c>
      <c r="V62" s="115">
        <v>427</v>
      </c>
      <c r="W62" s="114">
        <v>43164</v>
      </c>
      <c r="X62" s="115" t="s">
        <v>138</v>
      </c>
      <c r="Y62" s="221">
        <v>43164</v>
      </c>
      <c r="Z62" s="115"/>
      <c r="AA62" s="115"/>
      <c r="AB62" s="22">
        <v>0</v>
      </c>
      <c r="AC62" s="170">
        <v>0</v>
      </c>
      <c r="AD62" s="208">
        <v>34</v>
      </c>
      <c r="AE62" s="170">
        <v>10149</v>
      </c>
      <c r="AF62" s="208"/>
      <c r="AG62" s="170"/>
      <c r="AH62" s="208"/>
      <c r="AI62" s="170"/>
      <c r="AJ62" s="232"/>
      <c r="AK62" s="170">
        <f t="shared" si="6"/>
        <v>10149</v>
      </c>
      <c r="AL62" s="270">
        <v>0</v>
      </c>
      <c r="AM62" s="170">
        <v>0</v>
      </c>
      <c r="AN62" s="270">
        <v>34</v>
      </c>
      <c r="AO62" s="170">
        <f t="shared" si="2"/>
        <v>10149</v>
      </c>
      <c r="AP62" s="233"/>
      <c r="AQ62" s="233"/>
      <c r="AR62" s="170">
        <v>298.5</v>
      </c>
      <c r="AS62" s="170">
        <f t="shared" si="3"/>
        <v>0</v>
      </c>
      <c r="AT62" s="233">
        <f>34-34</f>
        <v>0</v>
      </c>
      <c r="AU62" s="386">
        <f t="shared" si="4"/>
        <v>0</v>
      </c>
      <c r="AV62" s="233">
        <f t="shared" si="5"/>
        <v>0</v>
      </c>
    </row>
    <row r="63" spans="1:48" s="62" customFormat="1" ht="25.5" customHeight="1">
      <c r="A63" s="59"/>
      <c r="B63" s="60"/>
      <c r="C63" s="60"/>
      <c r="D63" s="22"/>
      <c r="E63" s="79" t="s">
        <v>24</v>
      </c>
      <c r="F63" s="140" t="s">
        <v>55</v>
      </c>
      <c r="G63" s="222" t="s">
        <v>114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153</v>
      </c>
      <c r="V63" s="115">
        <v>613</v>
      </c>
      <c r="W63" s="114">
        <v>43193</v>
      </c>
      <c r="X63" s="193">
        <v>97</v>
      </c>
      <c r="Y63" s="200">
        <v>43202</v>
      </c>
      <c r="Z63" s="193" t="s">
        <v>154</v>
      </c>
      <c r="AA63" s="200">
        <v>43214</v>
      </c>
      <c r="AB63" s="22">
        <v>0</v>
      </c>
      <c r="AC63" s="170">
        <v>0</v>
      </c>
      <c r="AD63" s="209">
        <v>270</v>
      </c>
      <c r="AE63" s="194">
        <v>80595</v>
      </c>
      <c r="AF63" s="209"/>
      <c r="AG63" s="194"/>
      <c r="AH63" s="209"/>
      <c r="AI63" s="194"/>
      <c r="AJ63" s="232"/>
      <c r="AK63" s="170">
        <f t="shared" si="6"/>
        <v>80595</v>
      </c>
      <c r="AL63" s="272">
        <v>0</v>
      </c>
      <c r="AM63" s="212">
        <v>0</v>
      </c>
      <c r="AN63" s="269">
        <v>270</v>
      </c>
      <c r="AO63" s="217">
        <f t="shared" si="2"/>
        <v>80595</v>
      </c>
      <c r="AP63" s="232"/>
      <c r="AQ63" s="229"/>
      <c r="AR63" s="212">
        <v>298.5</v>
      </c>
      <c r="AS63" s="212">
        <f t="shared" si="3"/>
        <v>0</v>
      </c>
      <c r="AT63" s="261">
        <f>270-16-60-180</f>
        <v>14</v>
      </c>
      <c r="AU63" s="262">
        <f t="shared" si="4"/>
        <v>4179</v>
      </c>
      <c r="AV63" s="406">
        <f t="shared" si="5"/>
        <v>14</v>
      </c>
    </row>
    <row r="64" spans="1:48" s="62" customFormat="1" ht="25.5" customHeight="1">
      <c r="A64" s="59"/>
      <c r="B64" s="60"/>
      <c r="C64" s="60"/>
      <c r="D64" s="22"/>
      <c r="E64" s="79" t="s">
        <v>24</v>
      </c>
      <c r="F64" s="140" t="s">
        <v>55</v>
      </c>
      <c r="G64" s="222" t="s">
        <v>114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115</v>
      </c>
      <c r="V64" s="115">
        <v>612</v>
      </c>
      <c r="W64" s="114">
        <v>43193</v>
      </c>
      <c r="X64" s="193">
        <v>97</v>
      </c>
      <c r="Y64" s="200">
        <v>43202</v>
      </c>
      <c r="Z64" s="193" t="s">
        <v>155</v>
      </c>
      <c r="AA64" s="200">
        <v>43214</v>
      </c>
      <c r="AB64" s="22">
        <v>0</v>
      </c>
      <c r="AC64" s="170">
        <v>0</v>
      </c>
      <c r="AD64" s="209">
        <v>40</v>
      </c>
      <c r="AE64" s="194">
        <v>11940</v>
      </c>
      <c r="AF64" s="209"/>
      <c r="AG64" s="194"/>
      <c r="AH64" s="209"/>
      <c r="AI64" s="194"/>
      <c r="AJ64" s="232"/>
      <c r="AK64" s="170">
        <f t="shared" si="6"/>
        <v>11940</v>
      </c>
      <c r="AL64" s="272">
        <v>0</v>
      </c>
      <c r="AM64" s="212">
        <v>0</v>
      </c>
      <c r="AN64" s="269">
        <v>40</v>
      </c>
      <c r="AO64" s="217">
        <f t="shared" si="2"/>
        <v>11940</v>
      </c>
      <c r="AP64" s="232"/>
      <c r="AQ64" s="229"/>
      <c r="AR64" s="212">
        <v>298.5</v>
      </c>
      <c r="AS64" s="212">
        <f t="shared" si="3"/>
        <v>0</v>
      </c>
      <c r="AT64" s="227">
        <v>40</v>
      </c>
      <c r="AU64" s="228">
        <f t="shared" si="4"/>
        <v>11940</v>
      </c>
      <c r="AV64" s="279">
        <f t="shared" si="5"/>
        <v>40</v>
      </c>
    </row>
    <row r="65" spans="1:48" s="62" customFormat="1" ht="25.5" customHeight="1">
      <c r="A65" s="59"/>
      <c r="B65" s="60"/>
      <c r="C65" s="60"/>
      <c r="D65" s="22"/>
      <c r="E65" s="79"/>
      <c r="F65" s="140" t="s">
        <v>55</v>
      </c>
      <c r="G65" s="222" t="s">
        <v>114</v>
      </c>
      <c r="H65" s="193"/>
      <c r="I65" s="193"/>
      <c r="J65" s="193"/>
      <c r="K65" s="193"/>
      <c r="L65" s="243"/>
      <c r="M65" s="242"/>
      <c r="N65" s="243"/>
      <c r="O65" s="193"/>
      <c r="P65" s="243"/>
      <c r="Q65" s="193"/>
      <c r="R65" s="243"/>
      <c r="S65" s="193"/>
      <c r="T65" s="243"/>
      <c r="U65" s="203" t="s">
        <v>244</v>
      </c>
      <c r="V65" s="115"/>
      <c r="W65" s="114"/>
      <c r="X65" s="193"/>
      <c r="Y65" s="200"/>
      <c r="Z65" s="193"/>
      <c r="AA65" s="200"/>
      <c r="AB65" s="22"/>
      <c r="AC65" s="170"/>
      <c r="AD65" s="209"/>
      <c r="AE65" s="194"/>
      <c r="AF65" s="209"/>
      <c r="AG65" s="194"/>
      <c r="AH65" s="209"/>
      <c r="AI65" s="194"/>
      <c r="AJ65" s="232"/>
      <c r="AK65" s="170"/>
      <c r="AL65" s="272"/>
      <c r="AM65" s="212"/>
      <c r="AN65" s="269"/>
      <c r="AO65" s="217"/>
      <c r="AP65" s="232"/>
      <c r="AQ65" s="229"/>
      <c r="AR65" s="212"/>
      <c r="AS65" s="212"/>
      <c r="AT65" s="227">
        <v>6</v>
      </c>
      <c r="AU65" s="228"/>
      <c r="AV65" s="279">
        <f t="shared" si="5"/>
        <v>6</v>
      </c>
    </row>
    <row r="66" spans="1:48" s="62" customFormat="1" ht="25.5" hidden="1" customHeight="1">
      <c r="A66" s="59"/>
      <c r="B66" s="60"/>
      <c r="C66" s="60"/>
      <c r="D66" s="22"/>
      <c r="E66" s="79" t="s">
        <v>24</v>
      </c>
      <c r="F66" s="51" t="s">
        <v>250</v>
      </c>
      <c r="G66" s="275" t="s">
        <v>140</v>
      </c>
      <c r="H66" s="115" t="s">
        <v>91</v>
      </c>
      <c r="I66" s="115" t="s">
        <v>91</v>
      </c>
      <c r="J66" s="115">
        <v>1080</v>
      </c>
      <c r="K66" s="115">
        <v>2</v>
      </c>
      <c r="L66" s="276">
        <v>304.58999999999997</v>
      </c>
      <c r="M66" s="277">
        <f t="shared" si="0"/>
        <v>2160</v>
      </c>
      <c r="N66" s="276">
        <f t="shared" si="1"/>
        <v>657914.39999999991</v>
      </c>
      <c r="O66" s="115">
        <v>180</v>
      </c>
      <c r="P66" s="276">
        <v>49908.6</v>
      </c>
      <c r="Q66" s="115">
        <v>1080</v>
      </c>
      <c r="R66" s="276">
        <v>323838</v>
      </c>
      <c r="S66" s="115">
        <v>602</v>
      </c>
      <c r="T66" s="276">
        <v>183363.18</v>
      </c>
      <c r="U66" s="278" t="s">
        <v>139</v>
      </c>
      <c r="V66" s="115">
        <v>427</v>
      </c>
      <c r="W66" s="114">
        <v>43164</v>
      </c>
      <c r="X66" s="115" t="s">
        <v>138</v>
      </c>
      <c r="Y66" s="221">
        <v>43164</v>
      </c>
      <c r="Z66" s="115"/>
      <c r="AA66" s="115"/>
      <c r="AB66" s="22">
        <v>0</v>
      </c>
      <c r="AC66" s="170">
        <v>0</v>
      </c>
      <c r="AD66" s="208">
        <v>56</v>
      </c>
      <c r="AE66" s="170">
        <v>16794.400000000001</v>
      </c>
      <c r="AF66" s="208"/>
      <c r="AG66" s="170"/>
      <c r="AH66" s="208"/>
      <c r="AI66" s="170"/>
      <c r="AJ66" s="232"/>
      <c r="AK66" s="170">
        <f t="shared" si="6"/>
        <v>16794.400000000001</v>
      </c>
      <c r="AL66" s="270">
        <v>0</v>
      </c>
      <c r="AM66" s="170">
        <v>0</v>
      </c>
      <c r="AN66" s="270">
        <v>56</v>
      </c>
      <c r="AO66" s="170">
        <f t="shared" si="2"/>
        <v>16794.400000000001</v>
      </c>
      <c r="AP66" s="233"/>
      <c r="AQ66" s="233"/>
      <c r="AR66" s="170">
        <v>299.89999999999998</v>
      </c>
      <c r="AS66" s="170">
        <f t="shared" si="3"/>
        <v>0</v>
      </c>
      <c r="AT66" s="233">
        <f>18-18</f>
        <v>0</v>
      </c>
      <c r="AU66" s="386">
        <f t="shared" si="4"/>
        <v>0</v>
      </c>
      <c r="AV66" s="279">
        <f t="shared" si="5"/>
        <v>0</v>
      </c>
    </row>
    <row r="67" spans="1:48" s="62" customFormat="1" ht="25.5" customHeight="1">
      <c r="A67" s="59"/>
      <c r="B67" s="60"/>
      <c r="C67" s="427"/>
      <c r="D67" s="428"/>
      <c r="E67" s="79"/>
      <c r="F67" s="140" t="s">
        <v>55</v>
      </c>
      <c r="G67" s="222" t="s">
        <v>114</v>
      </c>
      <c r="H67" s="115"/>
      <c r="I67" s="115"/>
      <c r="J67" s="115"/>
      <c r="K67" s="115"/>
      <c r="L67" s="276"/>
      <c r="M67" s="277"/>
      <c r="N67" s="276"/>
      <c r="O67" s="115"/>
      <c r="P67" s="276"/>
      <c r="Q67" s="115"/>
      <c r="R67" s="276"/>
      <c r="S67" s="115"/>
      <c r="T67" s="276"/>
      <c r="U67" s="203" t="s">
        <v>262</v>
      </c>
      <c r="V67" s="115"/>
      <c r="W67" s="114"/>
      <c r="X67" s="115"/>
      <c r="Y67" s="221"/>
      <c r="Z67" s="115"/>
      <c r="AA67" s="115"/>
      <c r="AB67" s="22"/>
      <c r="AC67" s="170"/>
      <c r="AD67" s="208"/>
      <c r="AE67" s="170"/>
      <c r="AF67" s="208"/>
      <c r="AG67" s="170"/>
      <c r="AH67" s="208"/>
      <c r="AI67" s="170"/>
      <c r="AJ67" s="232">
        <v>234</v>
      </c>
      <c r="AK67" s="170"/>
      <c r="AL67" s="270"/>
      <c r="AM67" s="170"/>
      <c r="AN67" s="270"/>
      <c r="AO67" s="170"/>
      <c r="AP67" s="233"/>
      <c r="AQ67" s="233"/>
      <c r="AR67" s="170"/>
      <c r="AS67" s="170"/>
      <c r="AT67" s="227">
        <v>234</v>
      </c>
      <c r="AU67" s="386"/>
      <c r="AV67" s="279">
        <f t="shared" si="5"/>
        <v>234</v>
      </c>
    </row>
    <row r="68" spans="1:48" s="62" customFormat="1" ht="25.5" customHeight="1">
      <c r="A68" s="59"/>
      <c r="B68" s="60"/>
      <c r="C68" s="427"/>
      <c r="D68" s="428"/>
      <c r="E68" s="79"/>
      <c r="F68" s="140" t="s">
        <v>55</v>
      </c>
      <c r="G68" s="222" t="s">
        <v>114</v>
      </c>
      <c r="H68" s="115"/>
      <c r="I68" s="115"/>
      <c r="J68" s="115"/>
      <c r="K68" s="115"/>
      <c r="L68" s="276"/>
      <c r="M68" s="277"/>
      <c r="N68" s="276"/>
      <c r="O68" s="115"/>
      <c r="P68" s="276"/>
      <c r="Q68" s="115"/>
      <c r="R68" s="276"/>
      <c r="S68" s="115"/>
      <c r="T68" s="276"/>
      <c r="U68" s="203" t="s">
        <v>263</v>
      </c>
      <c r="V68" s="115"/>
      <c r="W68" s="114"/>
      <c r="X68" s="115"/>
      <c r="Y68" s="221"/>
      <c r="Z68" s="115"/>
      <c r="AA68" s="115"/>
      <c r="AB68" s="22"/>
      <c r="AC68" s="170"/>
      <c r="AD68" s="208"/>
      <c r="AE68" s="170"/>
      <c r="AF68" s="208"/>
      <c r="AG68" s="170"/>
      <c r="AH68" s="208"/>
      <c r="AI68" s="170"/>
      <c r="AJ68" s="232">
        <v>14</v>
      </c>
      <c r="AK68" s="170"/>
      <c r="AL68" s="270"/>
      <c r="AM68" s="170"/>
      <c r="AN68" s="270"/>
      <c r="AO68" s="170"/>
      <c r="AP68" s="233"/>
      <c r="AQ68" s="233"/>
      <c r="AR68" s="170"/>
      <c r="AS68" s="170"/>
      <c r="AT68" s="227">
        <v>14</v>
      </c>
      <c r="AU68" s="386"/>
      <c r="AV68" s="279">
        <f t="shared" si="5"/>
        <v>14</v>
      </c>
    </row>
    <row r="69" spans="1:48" s="62" customFormat="1" ht="25.5" customHeight="1">
      <c r="A69" s="59"/>
      <c r="B69" s="60"/>
      <c r="C69" s="427"/>
      <c r="D69" s="428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 t="shared" si="5"/>
        <v>36</v>
      </c>
    </row>
    <row r="70" spans="1:48" s="62" customFormat="1" ht="25.5" customHeight="1">
      <c r="A70" s="59"/>
      <c r="B70" s="60"/>
      <c r="C70" s="60"/>
      <c r="D70" s="22"/>
      <c r="E70" s="79" t="s">
        <v>24</v>
      </c>
      <c r="F70" s="173" t="s">
        <v>64</v>
      </c>
      <c r="G70" s="222" t="s">
        <v>140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157</v>
      </c>
      <c r="V70" s="115">
        <v>605</v>
      </c>
      <c r="W70" s="114">
        <v>43193</v>
      </c>
      <c r="X70" s="193">
        <v>97</v>
      </c>
      <c r="Y70" s="200">
        <v>43202</v>
      </c>
      <c r="Z70" s="193" t="s">
        <v>158</v>
      </c>
      <c r="AA70" s="200">
        <v>43216</v>
      </c>
      <c r="AB70" s="22">
        <v>0</v>
      </c>
      <c r="AC70" s="170">
        <v>0</v>
      </c>
      <c r="AD70" s="209">
        <v>510</v>
      </c>
      <c r="AE70" s="194">
        <v>152949</v>
      </c>
      <c r="AF70" s="209"/>
      <c r="AG70" s="194"/>
      <c r="AH70" s="209"/>
      <c r="AI70" s="194"/>
      <c r="AJ70" s="232"/>
      <c r="AK70" s="170">
        <f t="shared" si="6"/>
        <v>152949</v>
      </c>
      <c r="AL70" s="272">
        <v>0</v>
      </c>
      <c r="AM70" s="212">
        <v>0</v>
      </c>
      <c r="AN70" s="269">
        <v>510</v>
      </c>
      <c r="AO70" s="217">
        <f t="shared" si="2"/>
        <v>152949</v>
      </c>
      <c r="AP70" s="232"/>
      <c r="AQ70" s="229"/>
      <c r="AR70" s="212">
        <v>299.89999999999998</v>
      </c>
      <c r="AS70" s="212">
        <f t="shared" si="3"/>
        <v>0</v>
      </c>
      <c r="AT70" s="261">
        <f>510-42-60-60-120-60</f>
        <v>168</v>
      </c>
      <c r="AU70" s="262">
        <f t="shared" si="4"/>
        <v>50383.199999999997</v>
      </c>
      <c r="AV70" s="406">
        <f t="shared" si="5"/>
        <v>168</v>
      </c>
    </row>
    <row r="71" spans="1:48" s="62" customFormat="1" ht="25.5" customHeight="1">
      <c r="A71" s="59"/>
      <c r="B71" s="60"/>
      <c r="C71" s="60"/>
      <c r="D71" s="22"/>
      <c r="E71" s="79"/>
      <c r="F71" s="173" t="s">
        <v>64</v>
      </c>
      <c r="G71" s="222" t="s">
        <v>140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 t="s">
        <v>244</v>
      </c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2"/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368</v>
      </c>
      <c r="AU71" s="228"/>
      <c r="AV71" s="279">
        <f t="shared" si="5"/>
        <v>368</v>
      </c>
    </row>
    <row r="72" spans="1:48" s="62" customFormat="1" ht="25.5" customHeight="1">
      <c r="A72" s="59"/>
      <c r="B72" s="60"/>
      <c r="C72" s="427"/>
      <c r="D72" s="428"/>
      <c r="E72" s="79"/>
      <c r="F72" s="173" t="s">
        <v>64</v>
      </c>
      <c r="G72" s="222" t="s">
        <v>140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 t="s">
        <v>264</v>
      </c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2">
        <v>224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224</v>
      </c>
      <c r="AU72" s="228"/>
      <c r="AV72" s="279">
        <f t="shared" si="5"/>
        <v>224</v>
      </c>
    </row>
    <row r="73" spans="1:48" s="62" customFormat="1" ht="25.5" customHeight="1">
      <c r="A73" s="59"/>
      <c r="B73" s="60"/>
      <c r="C73" s="427"/>
      <c r="D73" s="428"/>
      <c r="E73" s="79"/>
      <c r="F73" s="173" t="s">
        <v>64</v>
      </c>
      <c r="G73" s="222" t="s">
        <v>140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 t="s">
        <v>244</v>
      </c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>
        <v>176</v>
      </c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176</v>
      </c>
      <c r="AU73" s="228"/>
      <c r="AV73" s="279">
        <f t="shared" si="5"/>
        <v>176</v>
      </c>
    </row>
    <row r="74" spans="1:48" s="62" customFormat="1" ht="31.5">
      <c r="A74" s="59"/>
      <c r="B74" s="60"/>
      <c r="C74" s="60"/>
      <c r="D74" s="22"/>
      <c r="E74" s="79" t="s">
        <v>24</v>
      </c>
      <c r="F74" s="150" t="s">
        <v>57</v>
      </c>
      <c r="G74" s="222" t="s">
        <v>121</v>
      </c>
      <c r="H74" s="193" t="s">
        <v>91</v>
      </c>
      <c r="I74" s="193" t="s">
        <v>91</v>
      </c>
      <c r="J74" s="193">
        <v>480</v>
      </c>
      <c r="K74" s="193">
        <v>3</v>
      </c>
      <c r="L74" s="243">
        <v>19.399999999999999</v>
      </c>
      <c r="M74" s="242">
        <f>J74*K74</f>
        <v>1440</v>
      </c>
      <c r="N74" s="243">
        <f t="shared" si="1"/>
        <v>27935.999999999996</v>
      </c>
      <c r="O74" s="193">
        <v>6637</v>
      </c>
      <c r="P74" s="243">
        <v>108249.47</v>
      </c>
      <c r="Q74" s="193">
        <v>4000</v>
      </c>
      <c r="R74" s="243">
        <v>89720</v>
      </c>
      <c r="S74" s="193"/>
      <c r="T74" s="243"/>
      <c r="U74" s="203" t="s">
        <v>120</v>
      </c>
      <c r="V74" s="115">
        <v>1745</v>
      </c>
      <c r="W74" s="114">
        <v>43096</v>
      </c>
      <c r="X74" s="193" t="s">
        <v>117</v>
      </c>
      <c r="Y74" s="200">
        <v>43109</v>
      </c>
      <c r="Z74" s="193" t="s">
        <v>118</v>
      </c>
      <c r="AA74" s="200">
        <v>43133</v>
      </c>
      <c r="AB74" s="22">
        <v>0</v>
      </c>
      <c r="AC74" s="170">
        <v>0</v>
      </c>
      <c r="AD74" s="209">
        <v>6637</v>
      </c>
      <c r="AE74" s="194">
        <v>102541.65</v>
      </c>
      <c r="AF74" s="209"/>
      <c r="AG74" s="194"/>
      <c r="AH74" s="209"/>
      <c r="AI74" s="194"/>
      <c r="AJ74" s="232"/>
      <c r="AK74" s="170">
        <f t="shared" si="6"/>
        <v>102541.65</v>
      </c>
      <c r="AL74" s="272">
        <f>180+290</f>
        <v>470</v>
      </c>
      <c r="AM74" s="212">
        <f>AL74*AR74</f>
        <v>7261.5</v>
      </c>
      <c r="AN74" s="269">
        <v>6167</v>
      </c>
      <c r="AO74" s="217">
        <f t="shared" si="2"/>
        <v>95280.15</v>
      </c>
      <c r="AP74" s="232"/>
      <c r="AQ74" s="229"/>
      <c r="AR74" s="212">
        <v>15.45</v>
      </c>
      <c r="AS74" s="212">
        <f t="shared" si="3"/>
        <v>0</v>
      </c>
      <c r="AT74" s="261">
        <f>5867-550-40-4737-460-30-50</f>
        <v>0</v>
      </c>
      <c r="AU74" s="262">
        <f t="shared" si="4"/>
        <v>0</v>
      </c>
      <c r="AV74" s="406">
        <f t="shared" si="5"/>
        <v>0</v>
      </c>
    </row>
    <row r="75" spans="1:48" s="62" customFormat="1" ht="31.5">
      <c r="A75" s="59"/>
      <c r="B75" s="60"/>
      <c r="C75" s="60"/>
      <c r="D75" s="22"/>
      <c r="E75" s="79" t="s">
        <v>24</v>
      </c>
      <c r="F75" s="150" t="s">
        <v>57</v>
      </c>
      <c r="G75" s="222" t="s">
        <v>121</v>
      </c>
      <c r="H75" s="193" t="s">
        <v>91</v>
      </c>
      <c r="I75" s="193" t="s">
        <v>91</v>
      </c>
      <c r="J75" s="193"/>
      <c r="K75" s="193"/>
      <c r="L75" s="243"/>
      <c r="M75" s="242">
        <f t="shared" ref="M75:M76" si="7">J75*K75</f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173</v>
      </c>
      <c r="V75" s="115">
        <v>834</v>
      </c>
      <c r="W75" s="114">
        <v>43222</v>
      </c>
      <c r="X75" s="193" t="s">
        <v>162</v>
      </c>
      <c r="Y75" s="200">
        <v>43242</v>
      </c>
      <c r="Z75" s="193"/>
      <c r="AA75" s="193"/>
      <c r="AB75" s="22">
        <v>0</v>
      </c>
      <c r="AC75" s="170">
        <v>0</v>
      </c>
      <c r="AD75" s="209">
        <v>144</v>
      </c>
      <c r="AE75" s="194">
        <v>2142.7199999999998</v>
      </c>
      <c r="AF75" s="209"/>
      <c r="AG75" s="194"/>
      <c r="AH75" s="209"/>
      <c r="AI75" s="194"/>
      <c r="AJ75" s="232"/>
      <c r="AK75" s="170">
        <f t="shared" si="6"/>
        <v>2142.7199999999998</v>
      </c>
      <c r="AL75" s="272">
        <v>0</v>
      </c>
      <c r="AM75" s="212">
        <v>0</v>
      </c>
      <c r="AN75" s="269">
        <v>144</v>
      </c>
      <c r="AO75" s="217">
        <f t="shared" si="2"/>
        <v>2142.7199999999998</v>
      </c>
      <c r="AP75" s="232"/>
      <c r="AQ75" s="229"/>
      <c r="AR75" s="212">
        <v>14.88</v>
      </c>
      <c r="AS75" s="212">
        <f t="shared" si="3"/>
        <v>0</v>
      </c>
      <c r="AT75" s="261">
        <f>144-144</f>
        <v>0</v>
      </c>
      <c r="AU75" s="262">
        <f t="shared" si="4"/>
        <v>0</v>
      </c>
      <c r="AV75" s="406">
        <f t="shared" si="5"/>
        <v>0</v>
      </c>
    </row>
    <row r="76" spans="1:48" s="62" customFormat="1" ht="31.5">
      <c r="A76" s="59"/>
      <c r="B76" s="60"/>
      <c r="C76" s="60"/>
      <c r="D76" s="22"/>
      <c r="E76" s="79" t="s">
        <v>24</v>
      </c>
      <c r="F76" s="150" t="s">
        <v>57</v>
      </c>
      <c r="G76" s="222" t="s">
        <v>121</v>
      </c>
      <c r="H76" s="193" t="s">
        <v>91</v>
      </c>
      <c r="I76" s="193" t="s">
        <v>91</v>
      </c>
      <c r="J76" s="193"/>
      <c r="K76" s="193"/>
      <c r="L76" s="243"/>
      <c r="M76" s="242">
        <f t="shared" si="7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183</v>
      </c>
      <c r="V76" s="115">
        <v>1418</v>
      </c>
      <c r="W76" s="114">
        <v>43312</v>
      </c>
      <c r="X76" s="193" t="s">
        <v>184</v>
      </c>
      <c r="Y76" s="200">
        <v>43332</v>
      </c>
      <c r="Z76" s="193" t="s">
        <v>185</v>
      </c>
      <c r="AA76" s="200">
        <v>43320</v>
      </c>
      <c r="AB76" s="22">
        <v>0</v>
      </c>
      <c r="AC76" s="170">
        <v>0</v>
      </c>
      <c r="AD76" s="209">
        <v>76</v>
      </c>
      <c r="AE76" s="194">
        <v>1130.8800000000001</v>
      </c>
      <c r="AF76" s="209"/>
      <c r="AG76" s="194"/>
      <c r="AH76" s="209"/>
      <c r="AI76" s="194"/>
      <c r="AJ76" s="232"/>
      <c r="AK76" s="170">
        <f t="shared" si="6"/>
        <v>1130.8800000000001</v>
      </c>
      <c r="AL76" s="272">
        <v>0</v>
      </c>
      <c r="AM76" s="212">
        <v>0</v>
      </c>
      <c r="AN76" s="269">
        <v>76</v>
      </c>
      <c r="AO76" s="217">
        <v>0</v>
      </c>
      <c r="AP76" s="232"/>
      <c r="AQ76" s="229"/>
      <c r="AR76" s="212">
        <v>14.88</v>
      </c>
      <c r="AS76" s="212">
        <f t="shared" si="3"/>
        <v>0</v>
      </c>
      <c r="AT76" s="261">
        <f>76-76</f>
        <v>0</v>
      </c>
      <c r="AU76" s="262">
        <f t="shared" si="4"/>
        <v>0</v>
      </c>
      <c r="AV76" s="406">
        <f t="shared" si="5"/>
        <v>0</v>
      </c>
    </row>
    <row r="77" spans="1:48" s="62" customFormat="1" ht="31.5">
      <c r="A77" s="59"/>
      <c r="B77" s="60"/>
      <c r="C77" s="60"/>
      <c r="D77" s="22"/>
      <c r="E77" s="79"/>
      <c r="F77" s="150" t="s">
        <v>57</v>
      </c>
      <c r="G77" s="222" t="s">
        <v>121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/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/>
      <c r="AK77" s="170"/>
      <c r="AL77" s="272"/>
      <c r="AM77" s="212"/>
      <c r="AN77" s="269"/>
      <c r="AO77" s="217"/>
      <c r="AP77" s="232"/>
      <c r="AQ77" s="229"/>
      <c r="AR77" s="212"/>
      <c r="AS77" s="212"/>
      <c r="AT77" s="261">
        <f>45-45</f>
        <v>0</v>
      </c>
      <c r="AU77" s="262"/>
      <c r="AV77" s="406">
        <f t="shared" si="5"/>
        <v>0</v>
      </c>
    </row>
    <row r="78" spans="1:48" s="62" customFormat="1" ht="31.5">
      <c r="A78" s="59"/>
      <c r="B78" s="60"/>
      <c r="C78" s="427"/>
      <c r="D78" s="428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766</v>
      </c>
      <c r="AU78" s="228"/>
      <c r="AV78" s="406">
        <f t="shared" si="5"/>
        <v>766</v>
      </c>
    </row>
    <row r="79" spans="1:48" s="62" customFormat="1" ht="26.25" customHeight="1">
      <c r="A79" s="59"/>
      <c r="B79" s="60"/>
      <c r="C79" s="60"/>
      <c r="D79" s="22"/>
      <c r="E79" s="79" t="s">
        <v>24</v>
      </c>
      <c r="F79" s="178" t="s">
        <v>58</v>
      </c>
      <c r="G79" s="222" t="s">
        <v>123</v>
      </c>
      <c r="H79" s="193" t="s">
        <v>91</v>
      </c>
      <c r="I79" s="193" t="s">
        <v>91</v>
      </c>
      <c r="J79" s="193">
        <v>5</v>
      </c>
      <c r="K79" s="193">
        <v>5</v>
      </c>
      <c r="L79" s="243">
        <v>2899.28</v>
      </c>
      <c r="M79" s="242">
        <f>J79*K79</f>
        <v>25</v>
      </c>
      <c r="N79" s="243">
        <f t="shared" si="1"/>
        <v>72482</v>
      </c>
      <c r="O79" s="193">
        <v>4</v>
      </c>
      <c r="P79" s="243">
        <v>8377.6</v>
      </c>
      <c r="Q79" s="193"/>
      <c r="R79" s="243"/>
      <c r="S79" s="193"/>
      <c r="T79" s="243"/>
      <c r="U79" s="203" t="s">
        <v>122</v>
      </c>
      <c r="V79" s="115">
        <v>1745</v>
      </c>
      <c r="W79" s="114">
        <v>43096</v>
      </c>
      <c r="X79" s="193" t="s">
        <v>117</v>
      </c>
      <c r="Y79" s="200">
        <v>43109</v>
      </c>
      <c r="Z79" s="193" t="s">
        <v>118</v>
      </c>
      <c r="AA79" s="200">
        <v>43133</v>
      </c>
      <c r="AB79" s="22">
        <v>0</v>
      </c>
      <c r="AC79" s="170">
        <v>0</v>
      </c>
      <c r="AD79" s="209">
        <v>4</v>
      </c>
      <c r="AE79" s="194">
        <v>9062.24</v>
      </c>
      <c r="AF79" s="209"/>
      <c r="AG79" s="194"/>
      <c r="AH79" s="209"/>
      <c r="AI79" s="194"/>
      <c r="AJ79" s="232"/>
      <c r="AK79" s="170">
        <f t="shared" si="6"/>
        <v>9062.24</v>
      </c>
      <c r="AL79" s="272">
        <v>0</v>
      </c>
      <c r="AM79" s="212">
        <v>0</v>
      </c>
      <c r="AN79" s="269">
        <v>4</v>
      </c>
      <c r="AO79" s="217">
        <f t="shared" ref="AO79:AO84" si="8">AC79+AK79-AM79</f>
        <v>9062.24</v>
      </c>
      <c r="AP79" s="232"/>
      <c r="AQ79" s="229"/>
      <c r="AR79" s="212">
        <v>2265.56</v>
      </c>
      <c r="AS79" s="212">
        <f t="shared" si="3"/>
        <v>0</v>
      </c>
      <c r="AT79" s="227">
        <v>4</v>
      </c>
      <c r="AU79" s="228">
        <f t="shared" si="4"/>
        <v>9062.24</v>
      </c>
      <c r="AV79" s="279">
        <f t="shared" si="5"/>
        <v>4</v>
      </c>
    </row>
    <row r="80" spans="1:48" s="62" customFormat="1" ht="26.25" customHeight="1">
      <c r="A80" s="59"/>
      <c r="B80" s="60"/>
      <c r="C80" s="60"/>
      <c r="D80" s="22"/>
      <c r="E80" s="79" t="s">
        <v>24</v>
      </c>
      <c r="F80" s="178" t="s">
        <v>58</v>
      </c>
      <c r="G80" s="222" t="s">
        <v>123</v>
      </c>
      <c r="H80" s="193" t="s">
        <v>91</v>
      </c>
      <c r="I80" s="193" t="s">
        <v>91</v>
      </c>
      <c r="J80" s="193"/>
      <c r="K80" s="193"/>
      <c r="L80" s="243"/>
      <c r="M80" s="242">
        <f t="shared" ref="M80:M84" si="9">J80*K80</f>
        <v>0</v>
      </c>
      <c r="N80" s="243">
        <f>L80*M80</f>
        <v>0</v>
      </c>
      <c r="O80" s="193"/>
      <c r="P80" s="243"/>
      <c r="Q80" s="193"/>
      <c r="R80" s="243"/>
      <c r="S80" s="193"/>
      <c r="T80" s="243"/>
      <c r="U80" s="203" t="s">
        <v>170</v>
      </c>
      <c r="V80" s="115">
        <v>834</v>
      </c>
      <c r="W80" s="114">
        <v>43222</v>
      </c>
      <c r="X80" s="193" t="s">
        <v>162</v>
      </c>
      <c r="Y80" s="200">
        <v>43242</v>
      </c>
      <c r="Z80" s="193"/>
      <c r="AA80" s="193"/>
      <c r="AB80" s="22">
        <v>0</v>
      </c>
      <c r="AC80" s="170">
        <v>0</v>
      </c>
      <c r="AD80" s="209">
        <v>2</v>
      </c>
      <c r="AE80" s="194">
        <v>4531.12</v>
      </c>
      <c r="AF80" s="209"/>
      <c r="AG80" s="194"/>
      <c r="AH80" s="209"/>
      <c r="AI80" s="194"/>
      <c r="AJ80" s="232"/>
      <c r="AK80" s="170">
        <f t="shared" si="6"/>
        <v>4531.12</v>
      </c>
      <c r="AL80" s="272">
        <v>0</v>
      </c>
      <c r="AM80" s="212">
        <v>0</v>
      </c>
      <c r="AN80" s="269">
        <v>2</v>
      </c>
      <c r="AO80" s="217">
        <f t="shared" si="8"/>
        <v>4531.12</v>
      </c>
      <c r="AP80" s="232"/>
      <c r="AQ80" s="229"/>
      <c r="AR80" s="212">
        <v>2265.56</v>
      </c>
      <c r="AS80" s="212">
        <f t="shared" si="3"/>
        <v>0</v>
      </c>
      <c r="AT80" s="227">
        <v>2</v>
      </c>
      <c r="AU80" s="228">
        <f t="shared" si="4"/>
        <v>4531.12</v>
      </c>
      <c r="AV80" s="279">
        <f t="shared" si="5"/>
        <v>2</v>
      </c>
    </row>
    <row r="81" spans="1:48" s="62" customFormat="1" ht="26.25" customHeight="1">
      <c r="A81" s="59"/>
      <c r="B81" s="60"/>
      <c r="C81" s="60"/>
      <c r="D81" s="22"/>
      <c r="E81" s="79" t="s">
        <v>24</v>
      </c>
      <c r="F81" s="161" t="s">
        <v>61</v>
      </c>
      <c r="G81" s="222" t="s">
        <v>127</v>
      </c>
      <c r="H81" s="193" t="s">
        <v>91</v>
      </c>
      <c r="I81" s="193" t="s">
        <v>91</v>
      </c>
      <c r="J81" s="193">
        <v>48</v>
      </c>
      <c r="K81" s="193">
        <v>3</v>
      </c>
      <c r="L81" s="243">
        <v>71.97</v>
      </c>
      <c r="M81" s="242">
        <f t="shared" si="9"/>
        <v>144</v>
      </c>
      <c r="N81" s="243">
        <f t="shared" ref="N81:N84" si="10">L81*M81</f>
        <v>10363.68</v>
      </c>
      <c r="O81" s="193">
        <v>14</v>
      </c>
      <c r="P81" s="243">
        <v>714.98</v>
      </c>
      <c r="Q81" s="193"/>
      <c r="R81" s="243"/>
      <c r="S81" s="193"/>
      <c r="T81" s="243"/>
      <c r="U81" s="203" t="s">
        <v>128</v>
      </c>
      <c r="V81" s="115">
        <v>135</v>
      </c>
      <c r="W81" s="114">
        <v>42761</v>
      </c>
      <c r="X81" s="193" t="s">
        <v>126</v>
      </c>
      <c r="Y81" s="200">
        <v>43130</v>
      </c>
      <c r="Z81" s="193"/>
      <c r="AA81" s="193"/>
      <c r="AB81" s="22">
        <v>0</v>
      </c>
      <c r="AC81" s="170">
        <v>0</v>
      </c>
      <c r="AD81" s="209">
        <v>14</v>
      </c>
      <c r="AE81" s="194">
        <v>774.48</v>
      </c>
      <c r="AF81" s="209"/>
      <c r="AG81" s="194"/>
      <c r="AH81" s="209"/>
      <c r="AI81" s="194"/>
      <c r="AJ81" s="232"/>
      <c r="AK81" s="170">
        <f t="shared" si="6"/>
        <v>774.48</v>
      </c>
      <c r="AL81" s="272">
        <v>0</v>
      </c>
      <c r="AM81" s="212">
        <v>0</v>
      </c>
      <c r="AN81" s="269">
        <v>14</v>
      </c>
      <c r="AO81" s="217">
        <f t="shared" si="8"/>
        <v>774.48</v>
      </c>
      <c r="AP81" s="232"/>
      <c r="AQ81" s="229"/>
      <c r="AR81" s="212">
        <v>55.32</v>
      </c>
      <c r="AS81" s="212">
        <f t="shared" si="3"/>
        <v>0</v>
      </c>
      <c r="AT81" s="227">
        <f>14-2</f>
        <v>12</v>
      </c>
      <c r="AU81" s="228">
        <f t="shared" si="4"/>
        <v>663.84</v>
      </c>
      <c r="AV81" s="279">
        <f t="shared" si="5"/>
        <v>12</v>
      </c>
    </row>
    <row r="82" spans="1:48" s="62" customFormat="1" ht="26.25" customHeight="1">
      <c r="A82" s="59"/>
      <c r="B82" s="60"/>
      <c r="C82" s="60"/>
      <c r="D82" s="22"/>
      <c r="E82" s="79" t="s">
        <v>24</v>
      </c>
      <c r="F82" s="161" t="s">
        <v>61</v>
      </c>
      <c r="G82" s="222" t="s">
        <v>127</v>
      </c>
      <c r="H82" s="193" t="s">
        <v>91</v>
      </c>
      <c r="I82" s="193" t="s">
        <v>91</v>
      </c>
      <c r="J82" s="193"/>
      <c r="K82" s="193"/>
      <c r="L82" s="243"/>
      <c r="M82" s="242">
        <f t="shared" si="9"/>
        <v>0</v>
      </c>
      <c r="N82" s="243">
        <f t="shared" si="10"/>
        <v>0</v>
      </c>
      <c r="O82" s="193"/>
      <c r="P82" s="243"/>
      <c r="Q82" s="193"/>
      <c r="R82" s="243"/>
      <c r="S82" s="193"/>
      <c r="T82" s="243"/>
      <c r="U82" s="203" t="s">
        <v>171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26</v>
      </c>
      <c r="AE82" s="194">
        <v>1438.32</v>
      </c>
      <c r="AF82" s="209"/>
      <c r="AG82" s="194"/>
      <c r="AH82" s="209"/>
      <c r="AI82" s="194"/>
      <c r="AJ82" s="232"/>
      <c r="AK82" s="170">
        <f t="shared" si="6"/>
        <v>1438.32</v>
      </c>
      <c r="AL82" s="272">
        <v>0</v>
      </c>
      <c r="AM82" s="212">
        <v>0</v>
      </c>
      <c r="AN82" s="269">
        <v>26</v>
      </c>
      <c r="AO82" s="217">
        <f t="shared" si="8"/>
        <v>1438.32</v>
      </c>
      <c r="AP82" s="232"/>
      <c r="AQ82" s="229"/>
      <c r="AR82" s="212">
        <v>55.32</v>
      </c>
      <c r="AS82" s="212">
        <f t="shared" ref="AS82:AS84" si="11">AQ82*AR82</f>
        <v>0</v>
      </c>
      <c r="AT82" s="227">
        <v>26</v>
      </c>
      <c r="AU82" s="228">
        <f t="shared" ref="AU82:AU84" si="12">AT82*AR82</f>
        <v>1438.32</v>
      </c>
      <c r="AV82" s="279">
        <f t="shared" ref="AV82:AV84" si="13">AT82</f>
        <v>26</v>
      </c>
    </row>
    <row r="83" spans="1:48" s="62" customFormat="1" ht="26.25" customHeight="1">
      <c r="A83" s="59"/>
      <c r="B83" s="60"/>
      <c r="C83" s="60"/>
      <c r="D83" s="22"/>
      <c r="E83" s="79" t="s">
        <v>24</v>
      </c>
      <c r="F83" s="179" t="s">
        <v>62</v>
      </c>
      <c r="G83" s="222" t="s">
        <v>129</v>
      </c>
      <c r="H83" s="193" t="s">
        <v>91</v>
      </c>
      <c r="I83" s="193" t="s">
        <v>91</v>
      </c>
      <c r="J83" s="193">
        <v>24</v>
      </c>
      <c r="K83" s="193">
        <v>4</v>
      </c>
      <c r="L83" s="243">
        <v>984.1</v>
      </c>
      <c r="M83" s="242">
        <f t="shared" si="9"/>
        <v>96</v>
      </c>
      <c r="N83" s="243">
        <f t="shared" si="10"/>
        <v>94473.600000000006</v>
      </c>
      <c r="O83" s="193">
        <v>6</v>
      </c>
      <c r="P83" s="243">
        <v>4721.3999999999996</v>
      </c>
      <c r="Q83" s="193"/>
      <c r="R83" s="243"/>
      <c r="S83" s="193"/>
      <c r="T83" s="243"/>
      <c r="U83" s="203" t="s">
        <v>130</v>
      </c>
      <c r="V83" s="115">
        <v>135</v>
      </c>
      <c r="W83" s="114">
        <v>42761</v>
      </c>
      <c r="X83" s="193" t="s">
        <v>126</v>
      </c>
      <c r="Y83" s="200">
        <v>43130</v>
      </c>
      <c r="Z83" s="193"/>
      <c r="AA83" s="193"/>
      <c r="AB83" s="22">
        <v>0</v>
      </c>
      <c r="AC83" s="170">
        <v>0</v>
      </c>
      <c r="AD83" s="209">
        <v>6</v>
      </c>
      <c r="AE83" s="194">
        <v>4549.08</v>
      </c>
      <c r="AF83" s="209"/>
      <c r="AG83" s="194"/>
      <c r="AH83" s="209"/>
      <c r="AI83" s="194"/>
      <c r="AJ83" s="232"/>
      <c r="AK83" s="170">
        <f t="shared" ref="AK83:AK84" si="14">AE83+AG83+AI83</f>
        <v>4549.08</v>
      </c>
      <c r="AL83" s="272">
        <v>0</v>
      </c>
      <c r="AM83" s="212">
        <v>0</v>
      </c>
      <c r="AN83" s="269">
        <v>6</v>
      </c>
      <c r="AO83" s="217">
        <f t="shared" si="8"/>
        <v>4549.08</v>
      </c>
      <c r="AP83" s="232"/>
      <c r="AQ83" s="229"/>
      <c r="AR83" s="212">
        <v>758.18</v>
      </c>
      <c r="AS83" s="212">
        <f t="shared" si="11"/>
        <v>0</v>
      </c>
      <c r="AT83" s="227">
        <v>6</v>
      </c>
      <c r="AU83" s="228">
        <f t="shared" si="12"/>
        <v>4549.08</v>
      </c>
      <c r="AV83" s="279">
        <f t="shared" si="13"/>
        <v>6</v>
      </c>
    </row>
    <row r="84" spans="1:48" s="62" customFormat="1" ht="26.25" customHeight="1">
      <c r="A84" s="59"/>
      <c r="B84" s="60"/>
      <c r="C84" s="60"/>
      <c r="D84" s="22"/>
      <c r="E84" s="79" t="s">
        <v>24</v>
      </c>
      <c r="F84" s="179" t="s">
        <v>62</v>
      </c>
      <c r="G84" s="222" t="s">
        <v>129</v>
      </c>
      <c r="H84" s="193" t="s">
        <v>91</v>
      </c>
      <c r="I84" s="193" t="s">
        <v>91</v>
      </c>
      <c r="J84" s="193"/>
      <c r="K84" s="193"/>
      <c r="L84" s="243"/>
      <c r="M84" s="242">
        <f t="shared" si="9"/>
        <v>0</v>
      </c>
      <c r="N84" s="243">
        <f t="shared" si="10"/>
        <v>0</v>
      </c>
      <c r="O84" s="193"/>
      <c r="P84" s="243"/>
      <c r="Q84" s="193"/>
      <c r="R84" s="243"/>
      <c r="S84" s="193"/>
      <c r="T84" s="243"/>
      <c r="U84" s="203" t="s">
        <v>172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10</v>
      </c>
      <c r="AE84" s="194">
        <v>7581.8</v>
      </c>
      <c r="AF84" s="209"/>
      <c r="AG84" s="194"/>
      <c r="AH84" s="209"/>
      <c r="AI84" s="194"/>
      <c r="AJ84" s="232"/>
      <c r="AK84" s="170">
        <f t="shared" si="14"/>
        <v>7581.8</v>
      </c>
      <c r="AL84" s="272">
        <v>0</v>
      </c>
      <c r="AM84" s="212">
        <v>0</v>
      </c>
      <c r="AN84" s="269">
        <v>10</v>
      </c>
      <c r="AO84" s="217">
        <f t="shared" si="8"/>
        <v>7581.8</v>
      </c>
      <c r="AP84" s="232"/>
      <c r="AQ84" s="229"/>
      <c r="AR84" s="212">
        <v>758.18</v>
      </c>
      <c r="AS84" s="212">
        <f t="shared" si="11"/>
        <v>0</v>
      </c>
      <c r="AT84" s="227">
        <v>10</v>
      </c>
      <c r="AU84" s="228">
        <f t="shared" si="12"/>
        <v>7581.7999999999993</v>
      </c>
      <c r="AV84" s="279">
        <f t="shared" si="13"/>
        <v>10</v>
      </c>
    </row>
    <row r="85" spans="1:48" s="62" customFormat="1" ht="26.25" customHeight="1">
      <c r="A85" s="59"/>
      <c r="B85" s="60"/>
      <c r="C85" s="60"/>
      <c r="D85" s="22"/>
      <c r="E85" s="79"/>
      <c r="F85" s="179" t="s">
        <v>62</v>
      </c>
      <c r="G85" s="222" t="s">
        <v>129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/>
      <c r="V85" s="115"/>
      <c r="W85" s="114"/>
      <c r="X85" s="193"/>
      <c r="Y85" s="200"/>
      <c r="Z85" s="193"/>
      <c r="AA85" s="193"/>
      <c r="AB85" s="22"/>
      <c r="AC85" s="170"/>
      <c r="AD85" s="209"/>
      <c r="AE85" s="194"/>
      <c r="AF85" s="209"/>
      <c r="AG85" s="194"/>
      <c r="AH85" s="209"/>
      <c r="AI85" s="194"/>
      <c r="AJ85" s="232"/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4</v>
      </c>
      <c r="AU85" s="228"/>
      <c r="AV85" s="279">
        <v>4</v>
      </c>
    </row>
    <row r="86" spans="1:48" s="251" customFormat="1" ht="21" customHeight="1">
      <c r="A86" s="20" t="s">
        <v>11</v>
      </c>
      <c r="B86" s="20"/>
      <c r="C86" s="20"/>
      <c r="D86" s="695" t="s">
        <v>34</v>
      </c>
      <c r="E86" s="696"/>
      <c r="F86" s="697"/>
      <c r="G86" s="246"/>
      <c r="H86" s="246"/>
      <c r="I86" s="246"/>
      <c r="J86" s="246"/>
      <c r="K86" s="247">
        <f>SUM(K17:K85)</f>
        <v>28</v>
      </c>
      <c r="L86" s="248"/>
      <c r="M86" s="246"/>
      <c r="N86" s="249">
        <f>SUM(N17:N85)</f>
        <v>2293381.04</v>
      </c>
      <c r="O86" s="248"/>
      <c r="P86" s="249">
        <f>SUM(P17:P85)</f>
        <v>1456893.27</v>
      </c>
      <c r="Q86" s="248"/>
      <c r="R86" s="249">
        <f>SUM(R17:R85)</f>
        <v>1125245.6000000001</v>
      </c>
      <c r="S86" s="248"/>
      <c r="T86" s="249">
        <f>SUM(T17:T85)</f>
        <v>493933.38</v>
      </c>
      <c r="U86" s="291" t="s">
        <v>156</v>
      </c>
      <c r="V86" s="291" t="s">
        <v>156</v>
      </c>
      <c r="W86" s="291" t="s">
        <v>156</v>
      </c>
      <c r="X86" s="250" t="s">
        <v>156</v>
      </c>
      <c r="Y86" s="250" t="s">
        <v>156</v>
      </c>
      <c r="Z86" s="250" t="s">
        <v>156</v>
      </c>
      <c r="AA86" s="250" t="s">
        <v>156</v>
      </c>
      <c r="AB86" s="176">
        <f>SUM(AB17:AB34)</f>
        <v>350</v>
      </c>
      <c r="AC86" s="171">
        <f>SUM(AC17:AC61)</f>
        <v>190344.16</v>
      </c>
      <c r="AD86" s="210">
        <f t="shared" ref="AD86:AQ86" si="15">SUM(AD17:AD85)</f>
        <v>12308</v>
      </c>
      <c r="AE86" s="195">
        <f t="shared" si="15"/>
        <v>1327130.1099999999</v>
      </c>
      <c r="AF86" s="210">
        <f t="shared" si="15"/>
        <v>0</v>
      </c>
      <c r="AG86" s="195">
        <f t="shared" si="15"/>
        <v>0</v>
      </c>
      <c r="AH86" s="210">
        <f t="shared" si="15"/>
        <v>0</v>
      </c>
      <c r="AI86" s="195">
        <f t="shared" si="15"/>
        <v>0</v>
      </c>
      <c r="AJ86" s="210">
        <f t="shared" si="15"/>
        <v>1796</v>
      </c>
      <c r="AK86" s="175">
        <f t="shared" si="15"/>
        <v>1327130.1099999999</v>
      </c>
      <c r="AL86" s="213">
        <f t="shared" si="15"/>
        <v>1317</v>
      </c>
      <c r="AM86" s="214">
        <f t="shared" si="15"/>
        <v>239268.15000000002</v>
      </c>
      <c r="AN86" s="218">
        <f t="shared" si="15"/>
        <v>11341</v>
      </c>
      <c r="AO86" s="219">
        <f t="shared" si="15"/>
        <v>1260482.31</v>
      </c>
      <c r="AP86" s="286">
        <f t="shared" si="15"/>
        <v>0</v>
      </c>
      <c r="AQ86" s="287">
        <f t="shared" si="15"/>
        <v>0</v>
      </c>
      <c r="AR86" s="226" t="s">
        <v>156</v>
      </c>
      <c r="AS86" s="226">
        <f>SUM(AS17:AS85)</f>
        <v>0</v>
      </c>
      <c r="AT86" s="261">
        <f>SUM(AT17:AT85)</f>
        <v>5414</v>
      </c>
      <c r="AU86" s="228">
        <f>SUM(AU17:AU85)</f>
        <v>779473.28999999992</v>
      </c>
      <c r="AV86" s="236">
        <f>SUM(AV17:AV85)</f>
        <v>5414</v>
      </c>
    </row>
    <row r="87" spans="1:48" s="336" customFormat="1" ht="21" customHeight="1">
      <c r="A87" s="20"/>
      <c r="B87" s="20"/>
      <c r="C87" s="20"/>
      <c r="D87" s="294"/>
      <c r="E87" s="294"/>
      <c r="F87" s="294"/>
      <c r="G87" s="330"/>
      <c r="H87" s="330"/>
      <c r="I87" s="330"/>
      <c r="J87" s="330"/>
      <c r="K87" s="331"/>
      <c r="L87" s="332"/>
      <c r="M87" s="330"/>
      <c r="N87" s="333"/>
      <c r="O87" s="332"/>
      <c r="P87" s="333"/>
      <c r="Q87" s="332"/>
      <c r="R87" s="333"/>
      <c r="S87" s="332"/>
      <c r="T87" s="333"/>
      <c r="U87" s="295"/>
      <c r="V87" s="295"/>
      <c r="W87" s="295"/>
      <c r="X87" s="295"/>
      <c r="Y87" s="295"/>
      <c r="Z87" s="295"/>
      <c r="AA87" s="295"/>
      <c r="AB87" s="296"/>
      <c r="AC87" s="297"/>
      <c r="AD87" s="296"/>
      <c r="AE87" s="297"/>
      <c r="AF87" s="296"/>
      <c r="AG87" s="297"/>
      <c r="AH87" s="296"/>
      <c r="AI87" s="297"/>
      <c r="AJ87" s="478"/>
      <c r="AK87" s="299"/>
      <c r="AL87" s="334"/>
      <c r="AM87" s="297"/>
      <c r="AN87" s="296"/>
      <c r="AO87" s="297"/>
      <c r="AP87" s="298"/>
      <c r="AQ87" s="335"/>
      <c r="AR87" s="333"/>
      <c r="AS87" s="333"/>
      <c r="AT87" s="331"/>
      <c r="AU87" s="333"/>
      <c r="AV87" s="331"/>
    </row>
    <row r="88" spans="1:48" s="336" customFormat="1" ht="21" hidden="1" customHeight="1">
      <c r="A88" s="20"/>
      <c r="B88" s="20"/>
      <c r="C88" s="20"/>
      <c r="D88" s="294"/>
      <c r="E88" s="294"/>
      <c r="F88" s="294"/>
      <c r="G88" s="330"/>
      <c r="H88" s="330"/>
      <c r="I88" s="330"/>
      <c r="J88" s="330"/>
      <c r="K88" s="331"/>
      <c r="L88" s="332"/>
      <c r="M88" s="330"/>
      <c r="N88" s="333"/>
      <c r="O88" s="332"/>
      <c r="P88" s="333"/>
      <c r="Q88" s="332"/>
      <c r="R88" s="333"/>
      <c r="S88" s="332"/>
      <c r="T88" s="333"/>
      <c r="U88" s="295"/>
      <c r="V88" s="295"/>
      <c r="W88" s="295"/>
      <c r="X88" s="295"/>
      <c r="Y88" s="295"/>
      <c r="Z88" s="295"/>
      <c r="AA88" s="295"/>
      <c r="AB88" s="296"/>
      <c r="AC88" s="297"/>
      <c r="AD88" s="296"/>
      <c r="AE88" s="297"/>
      <c r="AF88" s="296"/>
      <c r="AG88" s="297"/>
      <c r="AH88" s="296"/>
      <c r="AI88" s="297"/>
      <c r="AJ88" s="478"/>
      <c r="AK88" s="299"/>
      <c r="AL88" s="334"/>
      <c r="AM88" s="297"/>
      <c r="AN88" s="296"/>
      <c r="AO88" s="297"/>
      <c r="AP88" s="298"/>
      <c r="AQ88" s="335"/>
      <c r="AR88" s="333"/>
      <c r="AS88" s="333"/>
      <c r="AT88" s="331"/>
      <c r="AU88" s="333"/>
      <c r="AV88" s="331"/>
    </row>
    <row r="89" spans="1:48" s="292" customFormat="1" ht="20.25" hidden="1">
      <c r="A89" s="301"/>
      <c r="B89" s="301"/>
      <c r="C89" s="301"/>
      <c r="D89" s="302"/>
      <c r="E89" s="301"/>
      <c r="F89" s="303" t="s">
        <v>205</v>
      </c>
      <c r="G89" s="303"/>
      <c r="H89" s="303" t="s">
        <v>208</v>
      </c>
      <c r="I89" s="30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3"/>
      <c r="V89" s="303"/>
      <c r="X89" s="303"/>
      <c r="Y89" s="303"/>
      <c r="Z89" s="303"/>
      <c r="AA89" s="303" t="s">
        <v>208</v>
      </c>
      <c r="AB89" s="303"/>
      <c r="AC89" s="303"/>
      <c r="AD89" s="303"/>
      <c r="AE89" s="303"/>
      <c r="AF89" s="303"/>
      <c r="AG89" s="303"/>
      <c r="AH89" s="303"/>
      <c r="AI89" s="303"/>
      <c r="AJ89" s="479"/>
      <c r="AK89" s="303"/>
      <c r="AL89" s="301"/>
      <c r="AM89" s="303"/>
      <c r="AN89" s="305"/>
      <c r="AO89" s="306"/>
      <c r="AP89" s="307"/>
      <c r="AQ89" s="302"/>
      <c r="AR89" s="308"/>
      <c r="AS89" s="308"/>
      <c r="AT89" s="302"/>
      <c r="AU89" s="302"/>
      <c r="AV89" s="302"/>
    </row>
    <row r="90" spans="1:48" s="292" customFormat="1" ht="20.25" hidden="1">
      <c r="A90" s="301"/>
      <c r="B90" s="301"/>
      <c r="C90" s="301"/>
      <c r="D90" s="302"/>
      <c r="E90" s="301"/>
      <c r="F90" s="303"/>
      <c r="G90" s="303"/>
      <c r="H90" s="303"/>
      <c r="I90" s="30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3"/>
      <c r="V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479"/>
      <c r="AK90" s="303"/>
      <c r="AL90" s="301"/>
      <c r="AM90" s="303"/>
      <c r="AN90" s="305"/>
      <c r="AO90" s="306"/>
      <c r="AP90" s="307"/>
      <c r="AQ90" s="302"/>
      <c r="AR90" s="308"/>
      <c r="AS90" s="308"/>
      <c r="AT90" s="302"/>
      <c r="AU90" s="302"/>
      <c r="AV90" s="302"/>
    </row>
    <row r="91" spans="1:48" s="292" customFormat="1" ht="20.25" hidden="1">
      <c r="A91" s="301"/>
      <c r="B91" s="301"/>
      <c r="C91" s="301"/>
      <c r="D91" s="302"/>
      <c r="E91" s="301"/>
      <c r="F91" s="303"/>
      <c r="G91" s="303"/>
      <c r="H91" s="303"/>
      <c r="I91" s="30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3"/>
      <c r="V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479"/>
      <c r="AK91" s="303"/>
      <c r="AL91" s="301"/>
      <c r="AM91" s="303"/>
      <c r="AN91" s="305"/>
      <c r="AO91" s="306"/>
      <c r="AP91" s="307"/>
      <c r="AQ91" s="302"/>
      <c r="AR91" s="308"/>
      <c r="AS91" s="308"/>
      <c r="AT91" s="302"/>
      <c r="AU91" s="302"/>
      <c r="AV91" s="302"/>
    </row>
    <row r="92" spans="1:48" s="292" customFormat="1" ht="15" hidden="1" customHeight="1">
      <c r="A92" s="309"/>
      <c r="B92" s="309"/>
      <c r="C92" s="309"/>
      <c r="D92" s="302"/>
      <c r="E92" s="309"/>
      <c r="F92" s="310"/>
      <c r="G92" s="310"/>
      <c r="H92" s="308"/>
      <c r="I92" s="308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8"/>
      <c r="V92" s="311"/>
      <c r="AA92" s="311"/>
      <c r="AJ92" s="480"/>
      <c r="AK92" s="312"/>
      <c r="AL92" s="309"/>
      <c r="AM92" s="31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8" s="292" customFormat="1" ht="18" hidden="1" customHeight="1">
      <c r="A93" s="314" t="s">
        <v>12</v>
      </c>
      <c r="B93" s="314"/>
      <c r="C93" s="314"/>
      <c r="D93" s="315"/>
      <c r="E93" s="314"/>
      <c r="F93" s="316" t="s">
        <v>206</v>
      </c>
      <c r="G93" s="316"/>
      <c r="H93" s="736" t="s">
        <v>209</v>
      </c>
      <c r="I93" s="736"/>
      <c r="J93" s="736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8"/>
      <c r="V93" s="319"/>
      <c r="X93" s="303"/>
      <c r="Y93" s="316"/>
      <c r="Z93" s="316"/>
      <c r="AA93" s="320" t="s">
        <v>209</v>
      </c>
      <c r="AB93" s="316"/>
      <c r="AC93" s="316"/>
      <c r="AD93" s="316"/>
      <c r="AE93" s="316"/>
      <c r="AF93" s="316"/>
      <c r="AG93" s="316"/>
      <c r="AH93" s="316"/>
      <c r="AI93" s="316"/>
      <c r="AJ93" s="481"/>
      <c r="AK93" s="316"/>
      <c r="AL93" s="314"/>
      <c r="AM93" s="316"/>
      <c r="AN93" s="314"/>
      <c r="AO93" s="321"/>
      <c r="AP93" s="307"/>
      <c r="AQ93" s="302"/>
      <c r="AR93" s="308"/>
      <c r="AS93" s="308"/>
      <c r="AT93" s="302"/>
      <c r="AU93" s="302"/>
      <c r="AV93" s="302"/>
    </row>
    <row r="94" spans="1:48" s="62" customFormat="1" ht="18.75" hidden="1">
      <c r="A94" s="11"/>
      <c r="B94" s="11"/>
      <c r="C94" s="11"/>
      <c r="D94" s="255"/>
      <c r="E94" s="11"/>
      <c r="F94" s="322"/>
      <c r="G94" s="322"/>
      <c r="H94" s="322"/>
      <c r="I94" s="322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482"/>
      <c r="AK94" s="322"/>
      <c r="AL94" s="324"/>
      <c r="AM94" s="322"/>
      <c r="AN94" s="281"/>
      <c r="AO94" s="325"/>
      <c r="AP94" s="326"/>
      <c r="AQ94" s="472"/>
      <c r="AR94" s="255"/>
      <c r="AS94" s="255"/>
      <c r="AT94" s="472"/>
      <c r="AU94" s="472"/>
      <c r="AV94" s="472"/>
    </row>
    <row r="95" spans="1:48" s="103" customFormat="1" ht="57.75" hidden="1" customHeight="1">
      <c r="A95" s="11"/>
      <c r="B95" s="11"/>
      <c r="C95" s="11"/>
      <c r="D95" s="255"/>
      <c r="E95" s="720" t="s">
        <v>207</v>
      </c>
      <c r="F95" s="720"/>
      <c r="G95" s="327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9"/>
      <c r="W95" s="329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483"/>
      <c r="AK95" s="11"/>
      <c r="AL95" s="281"/>
      <c r="AM95" s="11"/>
      <c r="AN95" s="281"/>
      <c r="AP95" s="326"/>
      <c r="AQ95" s="472"/>
      <c r="AR95" s="255"/>
      <c r="AS95" s="255"/>
      <c r="AT95" s="472"/>
      <c r="AU95" s="472"/>
      <c r="AV95" s="472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86:F86"/>
    <mergeCell ref="H93:J93"/>
    <mergeCell ref="U14:U16"/>
    <mergeCell ref="V14:W15"/>
    <mergeCell ref="O15:P15"/>
    <mergeCell ref="Q15:R15"/>
    <mergeCell ref="S15:T15"/>
    <mergeCell ref="E95:F9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95"/>
  <sheetViews>
    <sheetView view="pageBreakPreview" topLeftCell="C76" zoomScale="70" zoomScaleSheetLayoutView="70" workbookViewId="0">
      <selection activeCell="BA87" sqref="BA87"/>
    </sheetView>
  </sheetViews>
  <sheetFormatPr defaultRowHeight="15.75"/>
  <cols>
    <col min="1" max="2" width="0" hidden="1" customWidth="1"/>
    <col min="3" max="3" width="3.5703125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490"/>
      <c r="AR1" s="255"/>
      <c r="AS1" s="255"/>
      <c r="AT1" s="490"/>
      <c r="AU1" s="490"/>
      <c r="AV1" s="49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9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9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272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490"/>
      <c r="AR12" s="255"/>
      <c r="AS12" s="255"/>
      <c r="AT12" s="491"/>
      <c r="AU12" s="491"/>
      <c r="AV12" s="49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257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273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491"/>
      <c r="D16" s="748"/>
      <c r="E16" s="685"/>
      <c r="F16" s="685"/>
      <c r="G16" s="202"/>
      <c r="H16" s="201"/>
      <c r="I16" s="201"/>
      <c r="J16" s="241"/>
      <c r="K16" s="241"/>
      <c r="L16" s="241"/>
      <c r="M16" s="489" t="s">
        <v>77</v>
      </c>
      <c r="N16" s="489" t="s">
        <v>78</v>
      </c>
      <c r="O16" s="489" t="s">
        <v>77</v>
      </c>
      <c r="P16" s="489" t="s">
        <v>78</v>
      </c>
      <c r="Q16" s="489" t="s">
        <v>77</v>
      </c>
      <c r="R16" s="489" t="s">
        <v>78</v>
      </c>
      <c r="S16" s="489" t="s">
        <v>77</v>
      </c>
      <c r="T16" s="48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88" t="s">
        <v>77</v>
      </c>
      <c r="AE16" s="488" t="s">
        <v>78</v>
      </c>
      <c r="AF16" s="205" t="s">
        <v>77</v>
      </c>
      <c r="AG16" s="205" t="s">
        <v>78</v>
      </c>
      <c r="AH16" s="488" t="s">
        <v>77</v>
      </c>
      <c r="AI16" s="488" t="s">
        <v>78</v>
      </c>
      <c r="AJ16" s="207" t="s">
        <v>96</v>
      </c>
      <c r="AK16" s="96" t="s">
        <v>19</v>
      </c>
      <c r="AL16" s="486" t="s">
        <v>96</v>
      </c>
      <c r="AM16" s="486" t="s">
        <v>19</v>
      </c>
      <c r="AN16" s="216" t="s">
        <v>96</v>
      </c>
      <c r="AO16" s="216" t="s">
        <v>19</v>
      </c>
      <c r="AP16" s="207" t="s">
        <v>96</v>
      </c>
      <c r="AQ16" s="486" t="s">
        <v>96</v>
      </c>
      <c r="AR16" s="486" t="s">
        <v>107</v>
      </c>
      <c r="AS16" s="486" t="s">
        <v>19</v>
      </c>
      <c r="AT16" s="487" t="s">
        <v>96</v>
      </c>
      <c r="AU16" s="487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0" si="0">J18*K18</f>
        <v>0</v>
      </c>
      <c r="N18" s="243">
        <f t="shared" ref="N18:N79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5" si="2">AC18+AK18-AM18</f>
        <v>1026.1600000000001</v>
      </c>
      <c r="AP18" s="232"/>
      <c r="AQ18" s="229"/>
      <c r="AR18" s="212">
        <v>1026.1600000000001</v>
      </c>
      <c r="AS18" s="212">
        <f t="shared" ref="AS18:AS81" si="3">AQ18*AR18</f>
        <v>0</v>
      </c>
      <c r="AT18" s="227">
        <v>1</v>
      </c>
      <c r="AU18" s="228">
        <f t="shared" ref="AU18:AU81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2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6.25" customHeight="1">
      <c r="A20" s="59"/>
      <c r="B20" s="60"/>
      <c r="C20" s="60"/>
      <c r="D20" s="2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27">
        <v>2</v>
      </c>
      <c r="AU20" s="228">
        <f>AT20*AR20</f>
        <v>4040.8</v>
      </c>
      <c r="AV20" s="279">
        <f>AT20</f>
        <v>2</v>
      </c>
    </row>
    <row r="21" spans="1:48" s="62" customFormat="1" ht="29.25" customHeight="1">
      <c r="A21" s="59"/>
      <c r="B21" s="60"/>
      <c r="C21" s="60"/>
      <c r="D21" s="2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27">
        <v>4</v>
      </c>
      <c r="AU21" s="228">
        <f>AT21*AR21</f>
        <v>8081.6</v>
      </c>
      <c r="AV21" s="279">
        <f>AT21</f>
        <v>4</v>
      </c>
    </row>
    <row r="22" spans="1:48" s="62" customFormat="1" ht="24.75" customHeight="1">
      <c r="A22" s="59"/>
      <c r="B22" s="60"/>
      <c r="C22" s="60"/>
      <c r="D22" s="2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27">
        <v>1</v>
      </c>
      <c r="AU22" s="228">
        <f t="shared" si="4"/>
        <v>2094.4</v>
      </c>
      <c r="AV22" s="279">
        <f t="shared" si="5"/>
        <v>1</v>
      </c>
    </row>
    <row r="23" spans="1:48" s="89" customFormat="1" ht="33.75">
      <c r="A23" s="80"/>
      <c r="B23" s="81"/>
      <c r="C23" s="60"/>
      <c r="D23" s="2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27">
        <v>1</v>
      </c>
      <c r="AU23" s="228">
        <f t="shared" si="4"/>
        <v>2094.4</v>
      </c>
      <c r="AV23" s="279">
        <f t="shared" si="5"/>
        <v>1</v>
      </c>
    </row>
    <row r="24" spans="1:48" s="62" customFormat="1" ht="24" customHeight="1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</f>
        <v>3</v>
      </c>
      <c r="AU24" s="228">
        <f t="shared" si="4"/>
        <v>2360.6999999999998</v>
      </c>
      <c r="AV24" s="279">
        <f t="shared" si="5"/>
        <v>3</v>
      </c>
    </row>
    <row r="25" spans="1:48" s="62" customFormat="1" ht="24.75" customHeight="1">
      <c r="A25" s="59"/>
      <c r="B25" s="60"/>
      <c r="C25" s="427"/>
      <c r="D25" s="428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8" s="62" customFormat="1" ht="24.75" customHeight="1">
      <c r="A26" s="59"/>
      <c r="B26" s="60"/>
      <c r="C26" s="427"/>
      <c r="D26" s="428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8" s="62" customFormat="1" ht="31.5">
      <c r="A27" s="59"/>
      <c r="B27" s="60"/>
      <c r="C27" s="427"/>
      <c r="D27" s="428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8" s="62" customFormat="1" ht="31.5">
      <c r="A28" s="59"/>
      <c r="B28" s="60"/>
      <c r="C28" s="427"/>
      <c r="D28" s="428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8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</f>
        <v>35</v>
      </c>
      <c r="AU29" s="228">
        <f t="shared" si="4"/>
        <v>18732.7</v>
      </c>
      <c r="AV29" s="279">
        <f t="shared" si="5"/>
        <v>35</v>
      </c>
    </row>
    <row r="30" spans="1:48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15</v>
      </c>
      <c r="AU30" s="228"/>
      <c r="AV30" s="279">
        <v>15</v>
      </c>
    </row>
    <row r="31" spans="1:48" s="62" customFormat="1" ht="24" customHeight="1">
      <c r="A31" s="59"/>
      <c r="B31" s="60"/>
      <c r="C31" s="60"/>
      <c r="D31" s="22"/>
      <c r="E31" s="79"/>
      <c r="F31" s="51" t="s">
        <v>43</v>
      </c>
      <c r="G31" s="275" t="s">
        <v>163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243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/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>10-10</f>
        <v>0</v>
      </c>
      <c r="AU31" s="386"/>
      <c r="AV31" s="233">
        <f t="shared" si="5"/>
        <v>0</v>
      </c>
    </row>
    <row r="32" spans="1:48" s="62" customFormat="1" ht="26.25" customHeight="1">
      <c r="A32" s="59"/>
      <c r="B32" s="60"/>
      <c r="C32" s="427"/>
      <c r="D32" s="428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8" s="62" customFormat="1" ht="26.25" customHeight="1">
      <c r="A33" s="59"/>
      <c r="B33" s="60"/>
      <c r="C33" s="427"/>
      <c r="D33" s="428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8" s="62" customFormat="1" ht="24" customHeight="1">
      <c r="A34" s="59"/>
      <c r="B34" s="60"/>
      <c r="C34" s="427"/>
      <c r="D34" s="428"/>
      <c r="E34" s="79" t="s">
        <v>24</v>
      </c>
      <c r="F34" s="485" t="s">
        <v>269</v>
      </c>
      <c r="G34" s="222" t="s">
        <v>152</v>
      </c>
      <c r="H34" s="115" t="s">
        <v>91</v>
      </c>
      <c r="I34" s="115" t="s">
        <v>91</v>
      </c>
      <c r="J34" s="115"/>
      <c r="K34" s="115"/>
      <c r="L34" s="276"/>
      <c r="M34" s="277">
        <f>J34*K34</f>
        <v>0</v>
      </c>
      <c r="N34" s="276">
        <f>L34*M34</f>
        <v>0</v>
      </c>
      <c r="O34" s="115"/>
      <c r="P34" s="276"/>
      <c r="Q34" s="115"/>
      <c r="R34" s="276"/>
      <c r="S34" s="115"/>
      <c r="T34" s="276"/>
      <c r="U34" s="203" t="s">
        <v>265</v>
      </c>
      <c r="V34" s="115">
        <v>1405</v>
      </c>
      <c r="W34" s="114">
        <v>43052</v>
      </c>
      <c r="X34" s="115"/>
      <c r="Y34" s="115"/>
      <c r="Z34" s="115"/>
      <c r="AA34" s="115"/>
      <c r="AB34" s="35">
        <v>120</v>
      </c>
      <c r="AC34" s="170">
        <v>58734</v>
      </c>
      <c r="AD34" s="208"/>
      <c r="AE34" s="170"/>
      <c r="AF34" s="208"/>
      <c r="AG34" s="170"/>
      <c r="AH34" s="208"/>
      <c r="AI34" s="170"/>
      <c r="AJ34" s="232">
        <v>140</v>
      </c>
      <c r="AK34" s="170">
        <f>AE34+AG34+AI34</f>
        <v>0</v>
      </c>
      <c r="AL34" s="270">
        <f>15+30+10+25+20+20</f>
        <v>120</v>
      </c>
      <c r="AM34" s="170">
        <f>7341.75+14683.5+4894.5+12236.25+9789</f>
        <v>48945</v>
      </c>
      <c r="AN34" s="270">
        <v>0</v>
      </c>
      <c r="AO34" s="170">
        <f>AC34+AK34-AM34</f>
        <v>9789</v>
      </c>
      <c r="AP34" s="233"/>
      <c r="AQ34" s="233"/>
      <c r="AR34" s="170">
        <v>489.45</v>
      </c>
      <c r="AS34" s="170">
        <f>AQ34*AR34</f>
        <v>0</v>
      </c>
      <c r="AT34" s="227">
        <v>140</v>
      </c>
      <c r="AU34" s="386">
        <f>AT34*AR34</f>
        <v>68523</v>
      </c>
      <c r="AV34" s="279">
        <f>AT34</f>
        <v>140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44</v>
      </c>
      <c r="G35" s="275" t="s">
        <v>116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186</v>
      </c>
      <c r="V35" s="115">
        <v>1418</v>
      </c>
      <c r="W35" s="114">
        <v>43312</v>
      </c>
      <c r="X35" s="115" t="s">
        <v>184</v>
      </c>
      <c r="Y35" s="221">
        <v>43332</v>
      </c>
      <c r="Z35" s="115" t="s">
        <v>185</v>
      </c>
      <c r="AA35" s="221">
        <v>43320</v>
      </c>
      <c r="AB35" s="22">
        <v>0</v>
      </c>
      <c r="AC35" s="170">
        <v>0</v>
      </c>
      <c r="AD35" s="208">
        <v>55</v>
      </c>
      <c r="AE35" s="170">
        <v>10780</v>
      </c>
      <c r="AF35" s="208"/>
      <c r="AG35" s="170"/>
      <c r="AH35" s="208"/>
      <c r="AI35" s="170"/>
      <c r="AJ35" s="233"/>
      <c r="AK35" s="170">
        <f t="shared" si="6"/>
        <v>10780</v>
      </c>
      <c r="AL35" s="270">
        <v>0</v>
      </c>
      <c r="AM35" s="170">
        <v>0</v>
      </c>
      <c r="AN35" s="270">
        <v>55</v>
      </c>
      <c r="AO35" s="170">
        <v>0</v>
      </c>
      <c r="AP35" s="233"/>
      <c r="AQ35" s="233"/>
      <c r="AR35" s="170">
        <v>196</v>
      </c>
      <c r="AS35" s="170">
        <f t="shared" si="3"/>
        <v>0</v>
      </c>
      <c r="AT35" s="233">
        <f>55-15-40</f>
        <v>0</v>
      </c>
      <c r="AU35" s="386">
        <f t="shared" si="4"/>
        <v>0</v>
      </c>
      <c r="AV35" s="233">
        <f t="shared" si="5"/>
        <v>0</v>
      </c>
    </row>
    <row r="36" spans="1:48" s="62" customFormat="1" ht="26.25" customHeight="1">
      <c r="A36" s="59"/>
      <c r="B36" s="60"/>
      <c r="C36" s="60"/>
      <c r="D36" s="22"/>
      <c r="E36" s="79"/>
      <c r="F36" s="149" t="s">
        <v>44</v>
      </c>
      <c r="G36" s="222" t="s">
        <v>116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/>
      <c r="V36" s="115"/>
      <c r="W36" s="114"/>
      <c r="X36" s="193"/>
      <c r="Y36" s="200"/>
      <c r="Z36" s="193"/>
      <c r="AA36" s="200"/>
      <c r="AB36" s="22"/>
      <c r="AC36" s="170"/>
      <c r="AD36" s="209"/>
      <c r="AE36" s="194"/>
      <c r="AF36" s="209"/>
      <c r="AG36" s="194"/>
      <c r="AH36" s="209"/>
      <c r="AI36" s="194"/>
      <c r="AJ36" s="232"/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15</v>
      </c>
      <c r="AU36" s="228"/>
      <c r="AV36" s="279">
        <v>15</v>
      </c>
    </row>
    <row r="37" spans="1:48" s="62" customFormat="1" ht="27" hidden="1" customHeight="1">
      <c r="A37" s="59"/>
      <c r="B37" s="60"/>
      <c r="C37" s="60"/>
      <c r="D37" s="22"/>
      <c r="E37" s="79" t="s">
        <v>24</v>
      </c>
      <c r="F37" s="51" t="s">
        <v>52</v>
      </c>
      <c r="G37" s="275" t="s">
        <v>111</v>
      </c>
      <c r="H37" s="115" t="s">
        <v>91</v>
      </c>
      <c r="I37" s="115" t="s">
        <v>91</v>
      </c>
      <c r="J37" s="115"/>
      <c r="K37" s="115"/>
      <c r="L37" s="276"/>
      <c r="M37" s="277">
        <f t="shared" si="0"/>
        <v>0</v>
      </c>
      <c r="N37" s="276">
        <f t="shared" si="1"/>
        <v>0</v>
      </c>
      <c r="O37" s="115"/>
      <c r="P37" s="276"/>
      <c r="Q37" s="115"/>
      <c r="R37" s="276"/>
      <c r="S37" s="115"/>
      <c r="T37" s="276"/>
      <c r="U37" s="278" t="s">
        <v>112</v>
      </c>
      <c r="V37" s="115">
        <v>1625</v>
      </c>
      <c r="W37" s="114">
        <v>43087</v>
      </c>
      <c r="X37" s="115" t="s">
        <v>109</v>
      </c>
      <c r="Y37" s="221">
        <v>43109</v>
      </c>
      <c r="Z37" s="115" t="s">
        <v>110</v>
      </c>
      <c r="AA37" s="221">
        <v>43111</v>
      </c>
      <c r="AB37" s="22">
        <v>0</v>
      </c>
      <c r="AC37" s="170">
        <v>0</v>
      </c>
      <c r="AD37" s="208">
        <v>5</v>
      </c>
      <c r="AE37" s="170">
        <v>1010.9</v>
      </c>
      <c r="AF37" s="208"/>
      <c r="AG37" s="170"/>
      <c r="AH37" s="208"/>
      <c r="AI37" s="170"/>
      <c r="AJ37" s="232"/>
      <c r="AK37" s="170">
        <f t="shared" si="6"/>
        <v>1010.9</v>
      </c>
      <c r="AL37" s="270">
        <v>5</v>
      </c>
      <c r="AM37" s="170">
        <v>1010.9</v>
      </c>
      <c r="AN37" s="270">
        <v>0</v>
      </c>
      <c r="AO37" s="170">
        <f t="shared" si="2"/>
        <v>0</v>
      </c>
      <c r="AP37" s="233"/>
      <c r="AQ37" s="233"/>
      <c r="AR37" s="170"/>
      <c r="AS37" s="170">
        <f t="shared" si="3"/>
        <v>0</v>
      </c>
      <c r="AT37" s="208">
        <v>0</v>
      </c>
      <c r="AU37" s="170">
        <f t="shared" si="4"/>
        <v>0</v>
      </c>
      <c r="AV37" s="233">
        <f t="shared" si="5"/>
        <v>0</v>
      </c>
    </row>
    <row r="38" spans="1:48" s="62" customFormat="1" ht="27" hidden="1" customHeight="1">
      <c r="A38" s="59"/>
      <c r="B38" s="60"/>
      <c r="C38" s="60"/>
      <c r="D38" s="22"/>
      <c r="E38" s="79" t="s">
        <v>24</v>
      </c>
      <c r="F38" s="51" t="s">
        <v>52</v>
      </c>
      <c r="G38" s="275" t="s">
        <v>111</v>
      </c>
      <c r="H38" s="115" t="s">
        <v>91</v>
      </c>
      <c r="I38" s="115" t="s">
        <v>91</v>
      </c>
      <c r="J38" s="115">
        <v>2016</v>
      </c>
      <c r="K38" s="115">
        <v>2</v>
      </c>
      <c r="L38" s="276">
        <v>199.06</v>
      </c>
      <c r="M38" s="277">
        <f t="shared" si="0"/>
        <v>4032</v>
      </c>
      <c r="N38" s="276">
        <f t="shared" si="1"/>
        <v>802609.92</v>
      </c>
      <c r="O38" s="115">
        <v>4130</v>
      </c>
      <c r="P38" s="276">
        <v>1054554.2</v>
      </c>
      <c r="Q38" s="115"/>
      <c r="R38" s="276"/>
      <c r="S38" s="115"/>
      <c r="T38" s="276"/>
      <c r="U38" s="278" t="s">
        <v>112</v>
      </c>
      <c r="V38" s="115">
        <v>1583</v>
      </c>
      <c r="W38" s="114">
        <v>43082</v>
      </c>
      <c r="X38" s="115" t="s">
        <v>113</v>
      </c>
      <c r="Y38" s="221">
        <v>43109</v>
      </c>
      <c r="Z38" s="115" t="s">
        <v>110</v>
      </c>
      <c r="AA38" s="221">
        <v>43111</v>
      </c>
      <c r="AB38" s="22">
        <v>0</v>
      </c>
      <c r="AC38" s="170">
        <v>0</v>
      </c>
      <c r="AD38" s="208">
        <v>490</v>
      </c>
      <c r="AE38" s="170">
        <v>99068.2</v>
      </c>
      <c r="AF38" s="208"/>
      <c r="AG38" s="170"/>
      <c r="AH38" s="208"/>
      <c r="AI38" s="170"/>
      <c r="AJ38" s="232"/>
      <c r="AK38" s="170">
        <f t="shared" si="6"/>
        <v>99068.2</v>
      </c>
      <c r="AL38" s="270">
        <f>135+130+130</f>
        <v>395</v>
      </c>
      <c r="AM38" s="170">
        <f>AL38*AR38</f>
        <v>79861.100000000006</v>
      </c>
      <c r="AN38" s="270">
        <v>95</v>
      </c>
      <c r="AO38" s="170">
        <f t="shared" si="2"/>
        <v>19207.099999999991</v>
      </c>
      <c r="AP38" s="233"/>
      <c r="AQ38" s="233"/>
      <c r="AR38" s="170">
        <v>202.18</v>
      </c>
      <c r="AS38" s="170">
        <f t="shared" si="3"/>
        <v>0</v>
      </c>
      <c r="AT38" s="233">
        <v>0</v>
      </c>
      <c r="AU38" s="386">
        <f t="shared" si="4"/>
        <v>0</v>
      </c>
      <c r="AV38" s="233">
        <f t="shared" si="5"/>
        <v>0</v>
      </c>
    </row>
    <row r="39" spans="1:48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1745</v>
      </c>
      <c r="W39" s="114">
        <v>43096</v>
      </c>
      <c r="X39" s="115" t="s">
        <v>117</v>
      </c>
      <c r="Y39" s="221">
        <v>43109</v>
      </c>
      <c r="Z39" s="115" t="s">
        <v>118</v>
      </c>
      <c r="AA39" s="221">
        <v>43133</v>
      </c>
      <c r="AB39" s="22">
        <v>0</v>
      </c>
      <c r="AC39" s="170">
        <v>0</v>
      </c>
      <c r="AD39" s="208">
        <v>195</v>
      </c>
      <c r="AE39" s="170">
        <v>39425.1</v>
      </c>
      <c r="AF39" s="208"/>
      <c r="AG39" s="170"/>
      <c r="AH39" s="208"/>
      <c r="AI39" s="170"/>
      <c r="AJ39" s="232"/>
      <c r="AK39" s="170">
        <f t="shared" si="6"/>
        <v>39425.1</v>
      </c>
      <c r="AL39" s="270">
        <v>0</v>
      </c>
      <c r="AM39" s="170">
        <v>0</v>
      </c>
      <c r="AN39" s="270">
        <v>195</v>
      </c>
      <c r="AO39" s="170">
        <f t="shared" si="2"/>
        <v>39425.1</v>
      </c>
      <c r="AP39" s="233"/>
      <c r="AQ39" s="233"/>
      <c r="AR39" s="170">
        <v>202.18</v>
      </c>
      <c r="AS39" s="170">
        <f t="shared" si="3"/>
        <v>0</v>
      </c>
      <c r="AT39" s="233">
        <f>160-140-20</f>
        <v>0</v>
      </c>
      <c r="AU39" s="386">
        <f t="shared" si="4"/>
        <v>0</v>
      </c>
      <c r="AV39" s="233">
        <f t="shared" si="5"/>
        <v>0</v>
      </c>
    </row>
    <row r="40" spans="1:48" s="62" customFormat="1" ht="26.25" customHeight="1">
      <c r="A40" s="59"/>
      <c r="B40" s="60"/>
      <c r="C40" s="60"/>
      <c r="D40" s="22"/>
      <c r="E40" s="79" t="s">
        <v>24</v>
      </c>
      <c r="F40" s="51" t="s">
        <v>65</v>
      </c>
      <c r="G40" s="275" t="s">
        <v>111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133</v>
      </c>
      <c r="V40" s="115">
        <v>426</v>
      </c>
      <c r="W40" s="114">
        <v>43164</v>
      </c>
      <c r="X40" s="115" t="s">
        <v>141</v>
      </c>
      <c r="Y40" s="221">
        <v>43164</v>
      </c>
      <c r="Z40" s="115" t="s">
        <v>142</v>
      </c>
      <c r="AA40" s="221">
        <v>43230</v>
      </c>
      <c r="AB40" s="22">
        <v>0</v>
      </c>
      <c r="AC40" s="170">
        <v>0</v>
      </c>
      <c r="AD40" s="208">
        <v>170</v>
      </c>
      <c r="AE40" s="170">
        <v>34370.6</v>
      </c>
      <c r="AF40" s="208"/>
      <c r="AG40" s="170"/>
      <c r="AH40" s="208"/>
      <c r="AI40" s="170"/>
      <c r="AJ40" s="233"/>
      <c r="AK40" s="170">
        <f t="shared" si="6"/>
        <v>34370.6</v>
      </c>
      <c r="AL40" s="270">
        <v>0</v>
      </c>
      <c r="AM40" s="170">
        <v>0</v>
      </c>
      <c r="AN40" s="270">
        <v>170</v>
      </c>
      <c r="AO40" s="170">
        <f t="shared" si="2"/>
        <v>34370.6</v>
      </c>
      <c r="AP40" s="233"/>
      <c r="AQ40" s="233"/>
      <c r="AR40" s="170">
        <v>202.18</v>
      </c>
      <c r="AS40" s="170">
        <f t="shared" si="3"/>
        <v>0</v>
      </c>
      <c r="AT40" s="233">
        <f>60-60</f>
        <v>0</v>
      </c>
      <c r="AU40" s="386">
        <f t="shared" si="4"/>
        <v>0</v>
      </c>
      <c r="AV40" s="233">
        <f t="shared" si="5"/>
        <v>0</v>
      </c>
    </row>
    <row r="41" spans="1:48" s="62" customFormat="1" ht="26.25" customHeight="1">
      <c r="A41" s="59"/>
      <c r="B41" s="60"/>
      <c r="C41" s="60"/>
      <c r="D41" s="22"/>
      <c r="E41" s="79" t="s">
        <v>24</v>
      </c>
      <c r="F41" s="53" t="s">
        <v>65</v>
      </c>
      <c r="G41" s="222" t="s">
        <v>111</v>
      </c>
      <c r="H41" s="193" t="s">
        <v>91</v>
      </c>
      <c r="I41" s="193" t="s">
        <v>91</v>
      </c>
      <c r="J41" s="193"/>
      <c r="K41" s="193"/>
      <c r="L41" s="243"/>
      <c r="M41" s="242">
        <f t="shared" si="0"/>
        <v>0</v>
      </c>
      <c r="N41" s="243">
        <f t="shared" si="1"/>
        <v>0</v>
      </c>
      <c r="O41" s="193"/>
      <c r="P41" s="243"/>
      <c r="Q41" s="193"/>
      <c r="R41" s="243"/>
      <c r="S41" s="193"/>
      <c r="T41" s="243"/>
      <c r="U41" s="203" t="s">
        <v>133</v>
      </c>
      <c r="V41" s="115">
        <v>234</v>
      </c>
      <c r="W41" s="114">
        <v>43143</v>
      </c>
      <c r="X41" s="193" t="s">
        <v>143</v>
      </c>
      <c r="Y41" s="200">
        <v>43164</v>
      </c>
      <c r="Z41" s="193"/>
      <c r="AA41" s="193"/>
      <c r="AB41" s="22">
        <v>0</v>
      </c>
      <c r="AC41" s="170">
        <v>0</v>
      </c>
      <c r="AD41" s="209">
        <v>320</v>
      </c>
      <c r="AE41" s="194">
        <v>64697.599999999999</v>
      </c>
      <c r="AF41" s="209"/>
      <c r="AG41" s="194"/>
      <c r="AH41" s="209"/>
      <c r="AI41" s="194"/>
      <c r="AJ41" s="232"/>
      <c r="AK41" s="170">
        <f t="shared" si="6"/>
        <v>64697.599999999999</v>
      </c>
      <c r="AL41" s="272">
        <v>0</v>
      </c>
      <c r="AM41" s="212">
        <v>0</v>
      </c>
      <c r="AN41" s="269">
        <v>320</v>
      </c>
      <c r="AO41" s="217">
        <f t="shared" si="2"/>
        <v>64697.599999999999</v>
      </c>
      <c r="AP41" s="232"/>
      <c r="AQ41" s="229"/>
      <c r="AR41" s="212">
        <v>202.18</v>
      </c>
      <c r="AS41" s="212">
        <f t="shared" si="3"/>
        <v>0</v>
      </c>
      <c r="AT41" s="227">
        <f>320-230</f>
        <v>90</v>
      </c>
      <c r="AU41" s="228">
        <f t="shared" si="4"/>
        <v>18196.2</v>
      </c>
      <c r="AV41" s="279">
        <f t="shared" si="5"/>
        <v>90</v>
      </c>
    </row>
    <row r="42" spans="1:48" s="62" customFormat="1" ht="26.25" customHeight="1">
      <c r="A42" s="59"/>
      <c r="B42" s="60"/>
      <c r="C42" s="60"/>
      <c r="D42" s="22"/>
      <c r="E42" s="79" t="s">
        <v>24</v>
      </c>
      <c r="F42" s="53" t="s">
        <v>65</v>
      </c>
      <c r="G42" s="222" t="s">
        <v>111</v>
      </c>
      <c r="H42" s="193" t="s">
        <v>91</v>
      </c>
      <c r="I42" s="193" t="s">
        <v>91</v>
      </c>
      <c r="J42" s="193"/>
      <c r="K42" s="193"/>
      <c r="L42" s="243"/>
      <c r="M42" s="242">
        <f t="shared" si="0"/>
        <v>0</v>
      </c>
      <c r="N42" s="243">
        <f t="shared" si="1"/>
        <v>0</v>
      </c>
      <c r="O42" s="193"/>
      <c r="P42" s="243"/>
      <c r="Q42" s="193"/>
      <c r="R42" s="243"/>
      <c r="S42" s="193"/>
      <c r="T42" s="243"/>
      <c r="U42" s="203" t="s">
        <v>132</v>
      </c>
      <c r="V42" s="115">
        <v>234</v>
      </c>
      <c r="W42" s="114">
        <v>43143</v>
      </c>
      <c r="X42" s="193" t="s">
        <v>143</v>
      </c>
      <c r="Y42" s="200">
        <v>43164</v>
      </c>
      <c r="Z42" s="193"/>
      <c r="AA42" s="193"/>
      <c r="AB42" s="22">
        <v>0</v>
      </c>
      <c r="AC42" s="170">
        <v>0</v>
      </c>
      <c r="AD42" s="209">
        <v>15</v>
      </c>
      <c r="AE42" s="194">
        <v>3032.7</v>
      </c>
      <c r="AF42" s="209"/>
      <c r="AG42" s="194"/>
      <c r="AH42" s="209"/>
      <c r="AI42" s="194"/>
      <c r="AJ42" s="232"/>
      <c r="AK42" s="170">
        <f t="shared" si="6"/>
        <v>3032.7</v>
      </c>
      <c r="AL42" s="272">
        <v>0</v>
      </c>
      <c r="AM42" s="212">
        <v>0</v>
      </c>
      <c r="AN42" s="269">
        <v>15</v>
      </c>
      <c r="AO42" s="217">
        <f t="shared" si="2"/>
        <v>3032.7</v>
      </c>
      <c r="AP42" s="232"/>
      <c r="AQ42" s="229"/>
      <c r="AR42" s="212">
        <v>202.18</v>
      </c>
      <c r="AS42" s="212">
        <f t="shared" si="3"/>
        <v>0</v>
      </c>
      <c r="AT42" s="227">
        <v>15</v>
      </c>
      <c r="AU42" s="228">
        <f t="shared" si="4"/>
        <v>3032.7000000000003</v>
      </c>
      <c r="AV42" s="279">
        <f t="shared" si="5"/>
        <v>15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356</v>
      </c>
      <c r="W43" s="114">
        <v>43159</v>
      </c>
      <c r="X43" s="193" t="s">
        <v>136</v>
      </c>
      <c r="Y43" s="200">
        <v>43164</v>
      </c>
      <c r="Z43" s="193"/>
      <c r="AA43" s="193"/>
      <c r="AB43" s="22">
        <v>0</v>
      </c>
      <c r="AC43" s="170">
        <v>0</v>
      </c>
      <c r="AD43" s="209">
        <v>170</v>
      </c>
      <c r="AE43" s="194">
        <v>34370.6</v>
      </c>
      <c r="AF43" s="209"/>
      <c r="AG43" s="194"/>
      <c r="AH43" s="209"/>
      <c r="AI43" s="194"/>
      <c r="AJ43" s="232"/>
      <c r="AK43" s="170">
        <f t="shared" si="6"/>
        <v>34370.6</v>
      </c>
      <c r="AL43" s="272">
        <v>0</v>
      </c>
      <c r="AM43" s="212">
        <v>0</v>
      </c>
      <c r="AN43" s="269">
        <v>170</v>
      </c>
      <c r="AO43" s="217">
        <f t="shared" si="2"/>
        <v>34370.6</v>
      </c>
      <c r="AP43" s="232"/>
      <c r="AQ43" s="229"/>
      <c r="AR43" s="212">
        <v>202.18</v>
      </c>
      <c r="AS43" s="212">
        <f t="shared" si="3"/>
        <v>0</v>
      </c>
      <c r="AT43" s="227">
        <v>170</v>
      </c>
      <c r="AU43" s="228">
        <f t="shared" si="4"/>
        <v>34370.6</v>
      </c>
      <c r="AV43" s="279">
        <f t="shared" si="5"/>
        <v>170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133</v>
      </c>
      <c r="V44" s="115">
        <v>260</v>
      </c>
      <c r="W44" s="114">
        <v>43145</v>
      </c>
      <c r="X44" s="193" t="s">
        <v>94</v>
      </c>
      <c r="Y44" s="200">
        <v>43164</v>
      </c>
      <c r="Z44" s="193"/>
      <c r="AA44" s="193"/>
      <c r="AB44" s="22">
        <v>0</v>
      </c>
      <c r="AC44" s="170">
        <v>0</v>
      </c>
      <c r="AD44" s="209">
        <v>665</v>
      </c>
      <c r="AE44" s="194">
        <v>134449.70000000001</v>
      </c>
      <c r="AF44" s="209"/>
      <c r="AG44" s="194"/>
      <c r="AH44" s="209"/>
      <c r="AI44" s="194"/>
      <c r="AJ44" s="232"/>
      <c r="AK44" s="170">
        <f t="shared" si="6"/>
        <v>134449.70000000001</v>
      </c>
      <c r="AL44" s="272">
        <v>0</v>
      </c>
      <c r="AM44" s="212">
        <v>0</v>
      </c>
      <c r="AN44" s="269">
        <v>665</v>
      </c>
      <c r="AO44" s="217">
        <f t="shared" si="2"/>
        <v>134449.70000000001</v>
      </c>
      <c r="AP44" s="232"/>
      <c r="AQ44" s="229"/>
      <c r="AR44" s="212">
        <v>202.18</v>
      </c>
      <c r="AS44" s="212">
        <f t="shared" si="3"/>
        <v>0</v>
      </c>
      <c r="AT44" s="227">
        <v>665</v>
      </c>
      <c r="AU44" s="228">
        <f t="shared" si="4"/>
        <v>134449.70000000001</v>
      </c>
      <c r="AV44" s="279">
        <f t="shared" si="5"/>
        <v>665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124</v>
      </c>
      <c r="V45" s="115">
        <v>68</v>
      </c>
      <c r="W45" s="114">
        <v>43116</v>
      </c>
      <c r="X45" s="193" t="s">
        <v>125</v>
      </c>
      <c r="Y45" s="200">
        <v>43130</v>
      </c>
      <c r="Z45" s="193"/>
      <c r="AA45" s="193"/>
      <c r="AB45" s="22">
        <v>0</v>
      </c>
      <c r="AC45" s="170">
        <v>0</v>
      </c>
      <c r="AD45" s="209">
        <v>335</v>
      </c>
      <c r="AE45" s="194">
        <v>67730.3</v>
      </c>
      <c r="AF45" s="209"/>
      <c r="AG45" s="194"/>
      <c r="AH45" s="209"/>
      <c r="AI45" s="194"/>
      <c r="AJ45" s="232"/>
      <c r="AK45" s="170">
        <f t="shared" si="6"/>
        <v>67730.3</v>
      </c>
      <c r="AL45" s="272">
        <v>0</v>
      </c>
      <c r="AM45" s="212">
        <v>0</v>
      </c>
      <c r="AN45" s="269">
        <v>335</v>
      </c>
      <c r="AO45" s="217">
        <f t="shared" si="2"/>
        <v>67730.3</v>
      </c>
      <c r="AP45" s="232"/>
      <c r="AQ45" s="229"/>
      <c r="AR45" s="212">
        <v>202.18</v>
      </c>
      <c r="AS45" s="212">
        <f t="shared" si="3"/>
        <v>0</v>
      </c>
      <c r="AT45" s="227">
        <v>155</v>
      </c>
      <c r="AU45" s="228">
        <f t="shared" si="4"/>
        <v>31337.9</v>
      </c>
      <c r="AV45" s="279">
        <f t="shared" si="5"/>
        <v>155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124</v>
      </c>
      <c r="V46" s="115">
        <v>135</v>
      </c>
      <c r="W46" s="114">
        <v>42761</v>
      </c>
      <c r="X46" s="193" t="s">
        <v>126</v>
      </c>
      <c r="Y46" s="200">
        <v>43130</v>
      </c>
      <c r="Z46" s="193"/>
      <c r="AA46" s="193"/>
      <c r="AB46" s="22">
        <v>0</v>
      </c>
      <c r="AC46" s="170">
        <v>0</v>
      </c>
      <c r="AD46" s="209">
        <v>155</v>
      </c>
      <c r="AE46" s="194">
        <v>31337.9</v>
      </c>
      <c r="AF46" s="209"/>
      <c r="AG46" s="194"/>
      <c r="AH46" s="209"/>
      <c r="AI46" s="194"/>
      <c r="AJ46" s="232"/>
      <c r="AK46" s="170">
        <f t="shared" si="6"/>
        <v>31337.9</v>
      </c>
      <c r="AL46" s="272">
        <v>0</v>
      </c>
      <c r="AM46" s="212">
        <v>0</v>
      </c>
      <c r="AN46" s="269">
        <v>155</v>
      </c>
      <c r="AO46" s="217">
        <f t="shared" si="2"/>
        <v>31337.9</v>
      </c>
      <c r="AP46" s="232"/>
      <c r="AQ46" s="229"/>
      <c r="AR46" s="212">
        <v>202.18</v>
      </c>
      <c r="AS46" s="212">
        <f t="shared" si="3"/>
        <v>0</v>
      </c>
      <c r="AT46" s="227">
        <v>155</v>
      </c>
      <c r="AU46" s="228">
        <f t="shared" si="4"/>
        <v>31337.9</v>
      </c>
      <c r="AV46" s="279">
        <f t="shared" si="5"/>
        <v>155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3" t="s">
        <v>65</v>
      </c>
      <c r="G47" s="222" t="s">
        <v>111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132</v>
      </c>
      <c r="V47" s="115">
        <v>108</v>
      </c>
      <c r="W47" s="114">
        <v>43119</v>
      </c>
      <c r="X47" s="193" t="s">
        <v>131</v>
      </c>
      <c r="Y47" s="200">
        <v>43130</v>
      </c>
      <c r="Z47" s="193"/>
      <c r="AA47" s="193"/>
      <c r="AB47" s="22">
        <v>0</v>
      </c>
      <c r="AC47" s="170">
        <v>0</v>
      </c>
      <c r="AD47" s="209">
        <v>340</v>
      </c>
      <c r="AE47" s="194">
        <v>68741.2</v>
      </c>
      <c r="AF47" s="209"/>
      <c r="AG47" s="194"/>
      <c r="AH47" s="209"/>
      <c r="AI47" s="194"/>
      <c r="AJ47" s="232"/>
      <c r="AK47" s="170">
        <f t="shared" si="6"/>
        <v>68741.2</v>
      </c>
      <c r="AL47" s="272">
        <v>0</v>
      </c>
      <c r="AM47" s="212">
        <v>0</v>
      </c>
      <c r="AN47" s="269">
        <v>340</v>
      </c>
      <c r="AO47" s="217">
        <f t="shared" si="2"/>
        <v>68741.2</v>
      </c>
      <c r="AP47" s="232"/>
      <c r="AQ47" s="229"/>
      <c r="AR47" s="212">
        <v>202.18</v>
      </c>
      <c r="AS47" s="212">
        <f t="shared" si="3"/>
        <v>0</v>
      </c>
      <c r="AT47" s="227">
        <v>340</v>
      </c>
      <c r="AU47" s="228">
        <f t="shared" si="4"/>
        <v>68741.2</v>
      </c>
      <c r="AV47" s="279">
        <f t="shared" si="5"/>
        <v>340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161</v>
      </c>
      <c r="V48" s="115">
        <v>659</v>
      </c>
      <c r="W48" s="114">
        <v>43201</v>
      </c>
      <c r="X48" s="193" t="s">
        <v>159</v>
      </c>
      <c r="Y48" s="200">
        <v>43213</v>
      </c>
      <c r="Z48" s="193" t="s">
        <v>160</v>
      </c>
      <c r="AA48" s="200">
        <v>43255</v>
      </c>
      <c r="AB48" s="22">
        <v>0</v>
      </c>
      <c r="AC48" s="170">
        <v>0</v>
      </c>
      <c r="AD48" s="209">
        <v>245</v>
      </c>
      <c r="AE48" s="194">
        <v>49534.1</v>
      </c>
      <c r="AF48" s="209"/>
      <c r="AG48" s="194"/>
      <c r="AH48" s="209"/>
      <c r="AI48" s="194"/>
      <c r="AJ48" s="232"/>
      <c r="AK48" s="170">
        <f t="shared" si="6"/>
        <v>49534.1</v>
      </c>
      <c r="AL48" s="272">
        <v>0</v>
      </c>
      <c r="AM48" s="212">
        <v>0</v>
      </c>
      <c r="AN48" s="269">
        <v>245</v>
      </c>
      <c r="AO48" s="217">
        <f t="shared" si="2"/>
        <v>49534.1</v>
      </c>
      <c r="AP48" s="232"/>
      <c r="AQ48" s="229"/>
      <c r="AR48" s="212">
        <v>202.18</v>
      </c>
      <c r="AS48" s="212">
        <f t="shared" si="3"/>
        <v>0</v>
      </c>
      <c r="AT48" s="227">
        <v>245</v>
      </c>
      <c r="AU48" s="228">
        <f t="shared" si="4"/>
        <v>49534.1</v>
      </c>
      <c r="AV48" s="279">
        <f t="shared" si="5"/>
        <v>245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161</v>
      </c>
      <c r="V49" s="115">
        <v>834</v>
      </c>
      <c r="W49" s="114">
        <v>43222</v>
      </c>
      <c r="X49" s="193" t="s">
        <v>162</v>
      </c>
      <c r="Y49" s="200">
        <v>43242</v>
      </c>
      <c r="Z49" s="193"/>
      <c r="AA49" s="193"/>
      <c r="AB49" s="22">
        <v>0</v>
      </c>
      <c r="AC49" s="170">
        <v>0</v>
      </c>
      <c r="AD49" s="209">
        <v>555</v>
      </c>
      <c r="AE49" s="194">
        <v>112209.9</v>
      </c>
      <c r="AF49" s="209"/>
      <c r="AG49" s="194"/>
      <c r="AH49" s="209"/>
      <c r="AI49" s="194"/>
      <c r="AJ49" s="232"/>
      <c r="AK49" s="170">
        <f t="shared" si="6"/>
        <v>112209.9</v>
      </c>
      <c r="AL49" s="272">
        <v>0</v>
      </c>
      <c r="AM49" s="212">
        <v>0</v>
      </c>
      <c r="AN49" s="269">
        <v>555</v>
      </c>
      <c r="AO49" s="217">
        <f t="shared" si="2"/>
        <v>112209.9</v>
      </c>
      <c r="AP49" s="232"/>
      <c r="AQ49" s="229"/>
      <c r="AR49" s="212">
        <v>202.18</v>
      </c>
      <c r="AS49" s="212">
        <f t="shared" si="3"/>
        <v>0</v>
      </c>
      <c r="AT49" s="227">
        <v>555</v>
      </c>
      <c r="AU49" s="228">
        <f t="shared" si="4"/>
        <v>112209.90000000001</v>
      </c>
      <c r="AV49" s="279">
        <f t="shared" si="5"/>
        <v>555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175</v>
      </c>
      <c r="V50" s="115">
        <v>1006</v>
      </c>
      <c r="W50" s="114">
        <v>43244</v>
      </c>
      <c r="X50" s="193" t="s">
        <v>179</v>
      </c>
      <c r="Y50" s="200">
        <v>43285</v>
      </c>
      <c r="Z50" s="193"/>
      <c r="AA50" s="193"/>
      <c r="AB50" s="22">
        <v>0</v>
      </c>
      <c r="AC50" s="170">
        <v>0</v>
      </c>
      <c r="AD50" s="209">
        <v>45</v>
      </c>
      <c r="AE50" s="194">
        <v>8820</v>
      </c>
      <c r="AF50" s="209"/>
      <c r="AG50" s="194"/>
      <c r="AH50" s="209"/>
      <c r="AI50" s="194"/>
      <c r="AJ50" s="232"/>
      <c r="AK50" s="170">
        <f t="shared" si="6"/>
        <v>8820</v>
      </c>
      <c r="AL50" s="272">
        <v>0</v>
      </c>
      <c r="AM50" s="212">
        <v>0</v>
      </c>
      <c r="AN50" s="269">
        <v>45</v>
      </c>
      <c r="AO50" s="217">
        <f t="shared" si="2"/>
        <v>8820</v>
      </c>
      <c r="AP50" s="232"/>
      <c r="AQ50" s="229"/>
      <c r="AR50" s="212">
        <v>196</v>
      </c>
      <c r="AS50" s="212">
        <f t="shared" si="3"/>
        <v>0</v>
      </c>
      <c r="AT50" s="227">
        <v>45</v>
      </c>
      <c r="AU50" s="228">
        <f t="shared" si="4"/>
        <v>8820</v>
      </c>
      <c r="AV50" s="279">
        <f t="shared" si="5"/>
        <v>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175</v>
      </c>
      <c r="V51" s="115">
        <v>1006</v>
      </c>
      <c r="W51" s="114">
        <v>43244</v>
      </c>
      <c r="X51" s="193" t="s">
        <v>179</v>
      </c>
      <c r="Y51" s="200">
        <v>43285</v>
      </c>
      <c r="Z51" s="193"/>
      <c r="AA51" s="193"/>
      <c r="AB51" s="22">
        <v>0</v>
      </c>
      <c r="AC51" s="170">
        <v>0</v>
      </c>
      <c r="AD51" s="209">
        <v>55</v>
      </c>
      <c r="AE51" s="194">
        <v>11119.9</v>
      </c>
      <c r="AF51" s="209"/>
      <c r="AG51" s="194"/>
      <c r="AH51" s="209"/>
      <c r="AI51" s="194"/>
      <c r="AJ51" s="232"/>
      <c r="AK51" s="170">
        <f t="shared" si="6"/>
        <v>11119.9</v>
      </c>
      <c r="AL51" s="272">
        <v>0</v>
      </c>
      <c r="AM51" s="212">
        <v>0</v>
      </c>
      <c r="AN51" s="269">
        <v>55</v>
      </c>
      <c r="AO51" s="217">
        <f t="shared" si="2"/>
        <v>11119.9</v>
      </c>
      <c r="AP51" s="232"/>
      <c r="AQ51" s="229"/>
      <c r="AR51" s="212">
        <v>202.18</v>
      </c>
      <c r="AS51" s="212">
        <f t="shared" si="3"/>
        <v>0</v>
      </c>
      <c r="AT51" s="227">
        <v>55</v>
      </c>
      <c r="AU51" s="228">
        <f t="shared" si="4"/>
        <v>11119.9</v>
      </c>
      <c r="AV51" s="279">
        <f t="shared" si="5"/>
        <v>55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22">
        <v>0</v>
      </c>
      <c r="AC52" s="170">
        <v>0</v>
      </c>
      <c r="AD52" s="209">
        <v>210</v>
      </c>
      <c r="AE52" s="194">
        <v>42457.8</v>
      </c>
      <c r="AF52" s="209"/>
      <c r="AG52" s="194"/>
      <c r="AH52" s="209"/>
      <c r="AI52" s="194"/>
      <c r="AJ52" s="232"/>
      <c r="AK52" s="170">
        <f t="shared" si="6"/>
        <v>42457.8</v>
      </c>
      <c r="AL52" s="272">
        <v>0</v>
      </c>
      <c r="AM52" s="212">
        <v>0</v>
      </c>
      <c r="AN52" s="269">
        <v>210</v>
      </c>
      <c r="AO52" s="217">
        <f t="shared" si="2"/>
        <v>42457.8</v>
      </c>
      <c r="AP52" s="232"/>
      <c r="AQ52" s="229"/>
      <c r="AR52" s="212">
        <v>202.18</v>
      </c>
      <c r="AS52" s="212">
        <f t="shared" si="3"/>
        <v>0</v>
      </c>
      <c r="AT52" s="227">
        <v>210</v>
      </c>
      <c r="AU52" s="228">
        <f t="shared" si="4"/>
        <v>42457.8</v>
      </c>
      <c r="AV52" s="279">
        <f t="shared" si="5"/>
        <v>210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161</v>
      </c>
      <c r="V53" s="115">
        <v>1053</v>
      </c>
      <c r="W53" s="114">
        <v>43255</v>
      </c>
      <c r="X53" s="193" t="s">
        <v>177</v>
      </c>
      <c r="Y53" s="200">
        <v>43285</v>
      </c>
      <c r="Z53" s="193" t="s">
        <v>178</v>
      </c>
      <c r="AA53" s="200">
        <v>43269</v>
      </c>
      <c r="AB53" s="22">
        <v>0</v>
      </c>
      <c r="AC53" s="170">
        <v>0</v>
      </c>
      <c r="AD53" s="209">
        <v>105</v>
      </c>
      <c r="AE53" s="194">
        <v>21228.9</v>
      </c>
      <c r="AF53" s="209"/>
      <c r="AG53" s="194"/>
      <c r="AH53" s="209"/>
      <c r="AI53" s="194"/>
      <c r="AJ53" s="232"/>
      <c r="AK53" s="170">
        <f t="shared" si="6"/>
        <v>21228.9</v>
      </c>
      <c r="AL53" s="272">
        <v>0</v>
      </c>
      <c r="AM53" s="212">
        <v>0</v>
      </c>
      <c r="AN53" s="269">
        <v>105</v>
      </c>
      <c r="AO53" s="217">
        <f t="shared" si="2"/>
        <v>21228.9</v>
      </c>
      <c r="AP53" s="232"/>
      <c r="AQ53" s="229"/>
      <c r="AR53" s="212">
        <v>202.18</v>
      </c>
      <c r="AS53" s="212">
        <f t="shared" si="3"/>
        <v>0</v>
      </c>
      <c r="AT53" s="227">
        <v>105</v>
      </c>
      <c r="AU53" s="228">
        <f t="shared" si="4"/>
        <v>21228.9</v>
      </c>
      <c r="AV53" s="279">
        <f t="shared" si="5"/>
        <v>105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187</v>
      </c>
      <c r="V54" s="115">
        <v>1418</v>
      </c>
      <c r="W54" s="114">
        <v>43312</v>
      </c>
      <c r="X54" s="193" t="s">
        <v>184</v>
      </c>
      <c r="Y54" s="200">
        <v>43332</v>
      </c>
      <c r="Z54" s="193" t="s">
        <v>185</v>
      </c>
      <c r="AA54" s="200">
        <v>43320</v>
      </c>
      <c r="AB54" s="22">
        <v>0</v>
      </c>
      <c r="AC54" s="170">
        <v>0</v>
      </c>
      <c r="AD54" s="209">
        <v>30</v>
      </c>
      <c r="AE54" s="194">
        <v>5880</v>
      </c>
      <c r="AF54" s="209"/>
      <c r="AG54" s="194"/>
      <c r="AH54" s="209"/>
      <c r="AI54" s="194"/>
      <c r="AJ54" s="232"/>
      <c r="AK54" s="170">
        <f t="shared" si="6"/>
        <v>5880</v>
      </c>
      <c r="AL54" s="272">
        <v>0</v>
      </c>
      <c r="AM54" s="212">
        <v>0</v>
      </c>
      <c r="AN54" s="269">
        <v>30</v>
      </c>
      <c r="AO54" s="217">
        <v>0</v>
      </c>
      <c r="AP54" s="232"/>
      <c r="AQ54" s="229"/>
      <c r="AR54" s="212">
        <v>196</v>
      </c>
      <c r="AS54" s="212">
        <f t="shared" si="3"/>
        <v>0</v>
      </c>
      <c r="AT54" s="227">
        <v>30</v>
      </c>
      <c r="AU54" s="228">
        <f t="shared" si="4"/>
        <v>5880</v>
      </c>
      <c r="AV54" s="279">
        <f t="shared" si="5"/>
        <v>30</v>
      </c>
    </row>
    <row r="55" spans="1:48" s="62" customFormat="1" ht="26.25" customHeight="1">
      <c r="A55" s="59"/>
      <c r="B55" s="60"/>
      <c r="C55" s="60"/>
      <c r="D55" s="22"/>
      <c r="E55" s="79"/>
      <c r="F55" s="53" t="s">
        <v>65</v>
      </c>
      <c r="G55" s="222" t="s">
        <v>111</v>
      </c>
      <c r="H55" s="193"/>
      <c r="I55" s="193"/>
      <c r="J55" s="193"/>
      <c r="K55" s="193"/>
      <c r="L55" s="243"/>
      <c r="M55" s="242"/>
      <c r="N55" s="243"/>
      <c r="O55" s="193"/>
      <c r="P55" s="243"/>
      <c r="Q55" s="193"/>
      <c r="R55" s="243"/>
      <c r="S55" s="193"/>
      <c r="T55" s="243"/>
      <c r="U55" s="203"/>
      <c r="V55" s="115"/>
      <c r="W55" s="114"/>
      <c r="X55" s="193"/>
      <c r="Y55" s="200"/>
      <c r="Z55" s="193"/>
      <c r="AA55" s="200"/>
      <c r="AB55" s="22"/>
      <c r="AC55" s="170"/>
      <c r="AD55" s="209"/>
      <c r="AE55" s="194"/>
      <c r="AF55" s="209"/>
      <c r="AG55" s="194"/>
      <c r="AH55" s="209"/>
      <c r="AI55" s="194"/>
      <c r="AJ55" s="232"/>
      <c r="AK55" s="170"/>
      <c r="AL55" s="272"/>
      <c r="AM55" s="212"/>
      <c r="AN55" s="269"/>
      <c r="AO55" s="217"/>
      <c r="AP55" s="232"/>
      <c r="AQ55" s="229"/>
      <c r="AR55" s="212"/>
      <c r="AS55" s="212"/>
      <c r="AT55" s="227">
        <v>30</v>
      </c>
      <c r="AU55" s="228"/>
      <c r="AV55" s="279">
        <f t="shared" si="5"/>
        <v>30</v>
      </c>
    </row>
    <row r="56" spans="1:48" s="62" customFormat="1" ht="26.25" hidden="1" customHeight="1">
      <c r="A56" s="59"/>
      <c r="B56" s="60"/>
      <c r="C56" s="60"/>
      <c r="D56" s="22"/>
      <c r="E56" s="79" t="s">
        <v>24</v>
      </c>
      <c r="F56" s="51" t="s">
        <v>249</v>
      </c>
      <c r="G56" s="275" t="s">
        <v>146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>
        <v>250</v>
      </c>
      <c r="P56" s="276">
        <v>66042.58</v>
      </c>
      <c r="Q56" s="115"/>
      <c r="R56" s="276"/>
      <c r="S56" s="115"/>
      <c r="T56" s="276"/>
      <c r="U56" s="278" t="s">
        <v>181</v>
      </c>
      <c r="V56" s="115">
        <v>1405</v>
      </c>
      <c r="W56" s="114">
        <v>43052</v>
      </c>
      <c r="X56" s="115" t="s">
        <v>182</v>
      </c>
      <c r="Y56" s="221">
        <v>43201</v>
      </c>
      <c r="Z56" s="115"/>
      <c r="AA56" s="115"/>
      <c r="AB56" s="22">
        <v>0</v>
      </c>
      <c r="AC56" s="170">
        <v>0</v>
      </c>
      <c r="AD56" s="208">
        <v>125</v>
      </c>
      <c r="AE56" s="170">
        <v>26255</v>
      </c>
      <c r="AF56" s="208"/>
      <c r="AG56" s="170"/>
      <c r="AH56" s="208"/>
      <c r="AI56" s="170"/>
      <c r="AJ56" s="232"/>
      <c r="AK56" s="170">
        <f t="shared" si="6"/>
        <v>26255</v>
      </c>
      <c r="AL56" s="270">
        <f>63+62</f>
        <v>125</v>
      </c>
      <c r="AM56" s="170">
        <v>26255</v>
      </c>
      <c r="AN56" s="270">
        <v>0</v>
      </c>
      <c r="AO56" s="170">
        <f t="shared" si="2"/>
        <v>0</v>
      </c>
      <c r="AP56" s="233"/>
      <c r="AQ56" s="233"/>
      <c r="AR56" s="170">
        <v>210.04</v>
      </c>
      <c r="AS56" s="170">
        <f t="shared" si="3"/>
        <v>0</v>
      </c>
      <c r="AT56" s="208">
        <v>0</v>
      </c>
      <c r="AU56" s="170">
        <f t="shared" si="4"/>
        <v>0</v>
      </c>
      <c r="AV56" s="233">
        <f t="shared" si="5"/>
        <v>0</v>
      </c>
    </row>
    <row r="57" spans="1:48" s="62" customFormat="1" ht="26.25" hidden="1" customHeight="1">
      <c r="A57" s="59"/>
      <c r="B57" s="60"/>
      <c r="C57" s="60"/>
      <c r="D57" s="22"/>
      <c r="E57" s="79" t="s">
        <v>24</v>
      </c>
      <c r="F57" s="51" t="s">
        <v>249</v>
      </c>
      <c r="G57" s="275" t="s">
        <v>146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145</v>
      </c>
      <c r="V57" s="115">
        <v>1381</v>
      </c>
      <c r="W57" s="114">
        <v>43047</v>
      </c>
      <c r="X57" s="115" t="s">
        <v>144</v>
      </c>
      <c r="Y57" s="221">
        <v>43201</v>
      </c>
      <c r="Z57" s="115"/>
      <c r="AA57" s="115"/>
      <c r="AB57" s="22">
        <v>0</v>
      </c>
      <c r="AC57" s="170">
        <v>0</v>
      </c>
      <c r="AD57" s="208">
        <v>80</v>
      </c>
      <c r="AE57" s="170">
        <v>16803.2</v>
      </c>
      <c r="AF57" s="208"/>
      <c r="AG57" s="170"/>
      <c r="AH57" s="208"/>
      <c r="AI57" s="170"/>
      <c r="AJ57" s="232"/>
      <c r="AK57" s="170">
        <f t="shared" si="6"/>
        <v>16803.2</v>
      </c>
      <c r="AL57" s="270">
        <v>80</v>
      </c>
      <c r="AM57" s="170">
        <v>16803.2</v>
      </c>
      <c r="AN57" s="270">
        <v>0</v>
      </c>
      <c r="AO57" s="170">
        <f t="shared" si="2"/>
        <v>0</v>
      </c>
      <c r="AP57" s="233"/>
      <c r="AQ57" s="233"/>
      <c r="AR57" s="170">
        <f>AM57/AL57</f>
        <v>210.04000000000002</v>
      </c>
      <c r="AS57" s="170">
        <f t="shared" si="3"/>
        <v>0</v>
      </c>
      <c r="AT57" s="208">
        <v>0</v>
      </c>
      <c r="AU57" s="170">
        <f t="shared" si="4"/>
        <v>0</v>
      </c>
      <c r="AV57" s="233">
        <f t="shared" si="5"/>
        <v>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148</v>
      </c>
      <c r="V58" s="115">
        <v>546</v>
      </c>
      <c r="W58" s="114">
        <v>43182</v>
      </c>
      <c r="X58" s="115" t="s">
        <v>149</v>
      </c>
      <c r="Y58" s="221">
        <v>43201</v>
      </c>
      <c r="Z58" s="115" t="s">
        <v>147</v>
      </c>
      <c r="AA58" s="221">
        <v>43252</v>
      </c>
      <c r="AB58" s="22">
        <v>0</v>
      </c>
      <c r="AC58" s="170">
        <v>0</v>
      </c>
      <c r="AD58" s="208">
        <v>10</v>
      </c>
      <c r="AE58" s="170">
        <v>2038.7</v>
      </c>
      <c r="AF58" s="208"/>
      <c r="AG58" s="170"/>
      <c r="AH58" s="208"/>
      <c r="AI58" s="170"/>
      <c r="AJ58" s="232"/>
      <c r="AK58" s="170">
        <f t="shared" si="6"/>
        <v>2038.7</v>
      </c>
      <c r="AL58" s="270">
        <v>10</v>
      </c>
      <c r="AM58" s="170">
        <v>2038.7</v>
      </c>
      <c r="AN58" s="270">
        <v>0</v>
      </c>
      <c r="AO58" s="170">
        <f t="shared" si="2"/>
        <v>0</v>
      </c>
      <c r="AP58" s="233"/>
      <c r="AQ58" s="233"/>
      <c r="AR58" s="170">
        <f>AM58/AL58</f>
        <v>203.87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162" t="s">
        <v>68</v>
      </c>
      <c r="G59" s="222" t="s">
        <v>146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148</v>
      </c>
      <c r="V59" s="115">
        <v>834</v>
      </c>
      <c r="W59" s="114">
        <v>43222</v>
      </c>
      <c r="X59" s="193" t="s">
        <v>162</v>
      </c>
      <c r="Y59" s="200">
        <v>43242</v>
      </c>
      <c r="Z59" s="193"/>
      <c r="AA59" s="193"/>
      <c r="AB59" s="22">
        <v>0</v>
      </c>
      <c r="AC59" s="170">
        <v>0</v>
      </c>
      <c r="AD59" s="209">
        <v>10</v>
      </c>
      <c r="AE59" s="194">
        <v>2100.4</v>
      </c>
      <c r="AF59" s="209"/>
      <c r="AG59" s="194"/>
      <c r="AH59" s="209"/>
      <c r="AI59" s="194"/>
      <c r="AJ59" s="232"/>
      <c r="AK59" s="170">
        <f t="shared" si="6"/>
        <v>2100.4</v>
      </c>
      <c r="AL59" s="272">
        <v>0</v>
      </c>
      <c r="AM59" s="212">
        <v>0</v>
      </c>
      <c r="AN59" s="269">
        <v>10</v>
      </c>
      <c r="AO59" s="217">
        <f t="shared" si="2"/>
        <v>2100.4</v>
      </c>
      <c r="AP59" s="232"/>
      <c r="AQ59" s="229"/>
      <c r="AR59" s="212">
        <v>210.04</v>
      </c>
      <c r="AS59" s="212">
        <f t="shared" si="3"/>
        <v>0</v>
      </c>
      <c r="AT59" s="227">
        <v>10</v>
      </c>
      <c r="AU59" s="228">
        <f t="shared" si="4"/>
        <v>2100.4</v>
      </c>
      <c r="AV59" s="279">
        <f t="shared" si="5"/>
        <v>10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162" t="s">
        <v>68</v>
      </c>
      <c r="G60" s="222" t="s">
        <v>146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148</v>
      </c>
      <c r="V60" s="115">
        <v>1006</v>
      </c>
      <c r="W60" s="114">
        <v>43244</v>
      </c>
      <c r="X60" s="193" t="s">
        <v>179</v>
      </c>
      <c r="Y60" s="200">
        <v>43285</v>
      </c>
      <c r="Z60" s="193"/>
      <c r="AA60" s="193"/>
      <c r="AB60" s="22">
        <v>0</v>
      </c>
      <c r="AC60" s="170">
        <v>0</v>
      </c>
      <c r="AD60" s="209">
        <v>5</v>
      </c>
      <c r="AE60" s="194">
        <v>1019.35</v>
      </c>
      <c r="AF60" s="209"/>
      <c r="AG60" s="194"/>
      <c r="AH60" s="209"/>
      <c r="AI60" s="194"/>
      <c r="AJ60" s="232"/>
      <c r="AK60" s="170">
        <f t="shared" si="6"/>
        <v>1019.35</v>
      </c>
      <c r="AL60" s="272">
        <v>0</v>
      </c>
      <c r="AM60" s="212">
        <v>0</v>
      </c>
      <c r="AN60" s="269">
        <v>5</v>
      </c>
      <c r="AO60" s="217">
        <f t="shared" si="2"/>
        <v>1019.35</v>
      </c>
      <c r="AP60" s="232"/>
      <c r="AQ60" s="229"/>
      <c r="AR60" s="212">
        <v>203.87</v>
      </c>
      <c r="AS60" s="212">
        <f t="shared" si="3"/>
        <v>0</v>
      </c>
      <c r="AT60" s="227">
        <v>5</v>
      </c>
      <c r="AU60" s="228">
        <f t="shared" si="4"/>
        <v>1019.35</v>
      </c>
      <c r="AV60" s="279">
        <f t="shared" si="5"/>
        <v>5</v>
      </c>
    </row>
    <row r="61" spans="1:48" s="62" customFormat="1" ht="25.5" hidden="1" customHeight="1">
      <c r="A61" s="59"/>
      <c r="B61" s="60"/>
      <c r="C61" s="60"/>
      <c r="D61" s="22"/>
      <c r="E61" s="79" t="s">
        <v>24</v>
      </c>
      <c r="F61" s="51" t="s">
        <v>247</v>
      </c>
      <c r="G61" s="275" t="s">
        <v>114</v>
      </c>
      <c r="H61" s="115" t="s">
        <v>91</v>
      </c>
      <c r="I61" s="115" t="s">
        <v>91</v>
      </c>
      <c r="J61" s="115">
        <v>360</v>
      </c>
      <c r="K61" s="115">
        <v>1</v>
      </c>
      <c r="L61" s="276">
        <v>303.16000000000003</v>
      </c>
      <c r="M61" s="277">
        <f t="shared" si="0"/>
        <v>360</v>
      </c>
      <c r="N61" s="276">
        <f t="shared" si="1"/>
        <v>109137.60000000001</v>
      </c>
      <c r="O61" s="115">
        <v>180</v>
      </c>
      <c r="P61" s="276">
        <v>49667.4</v>
      </c>
      <c r="Q61" s="115">
        <v>360</v>
      </c>
      <c r="R61" s="276">
        <v>107470.8</v>
      </c>
      <c r="S61" s="115">
        <v>90</v>
      </c>
      <c r="T61" s="276">
        <v>27284.400000000001</v>
      </c>
      <c r="U61" s="278" t="s">
        <v>115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8</v>
      </c>
      <c r="AE61" s="170">
        <v>2388</v>
      </c>
      <c r="AF61" s="208"/>
      <c r="AG61" s="170"/>
      <c r="AH61" s="208"/>
      <c r="AI61" s="170"/>
      <c r="AJ61" s="232"/>
      <c r="AK61" s="170">
        <f t="shared" si="6"/>
        <v>2388</v>
      </c>
      <c r="AL61" s="270">
        <v>0</v>
      </c>
      <c r="AM61" s="170">
        <v>0</v>
      </c>
      <c r="AN61" s="270">
        <v>8</v>
      </c>
      <c r="AO61" s="170">
        <f t="shared" si="2"/>
        <v>2388</v>
      </c>
      <c r="AP61" s="233"/>
      <c r="AQ61" s="233"/>
      <c r="AR61" s="170">
        <v>298.5</v>
      </c>
      <c r="AS61" s="170">
        <f t="shared" si="3"/>
        <v>0</v>
      </c>
      <c r="AT61" s="233">
        <f>8-8</f>
        <v>0</v>
      </c>
      <c r="AU61" s="386">
        <f t="shared" si="4"/>
        <v>0</v>
      </c>
      <c r="AV61" s="233">
        <f t="shared" si="5"/>
        <v>0</v>
      </c>
    </row>
    <row r="62" spans="1:48" s="62" customFormat="1" ht="25.5" hidden="1" customHeight="1">
      <c r="A62" s="59"/>
      <c r="B62" s="60"/>
      <c r="C62" s="60"/>
      <c r="D62" s="22"/>
      <c r="E62" s="79" t="s">
        <v>24</v>
      </c>
      <c r="F62" s="51" t="s">
        <v>247</v>
      </c>
      <c r="G62" s="275" t="s">
        <v>114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137</v>
      </c>
      <c r="V62" s="115">
        <v>427</v>
      </c>
      <c r="W62" s="114">
        <v>43164</v>
      </c>
      <c r="X62" s="115" t="s">
        <v>138</v>
      </c>
      <c r="Y62" s="221">
        <v>43164</v>
      </c>
      <c r="Z62" s="115"/>
      <c r="AA62" s="115"/>
      <c r="AB62" s="22">
        <v>0</v>
      </c>
      <c r="AC62" s="170">
        <v>0</v>
      </c>
      <c r="AD62" s="208">
        <v>34</v>
      </c>
      <c r="AE62" s="170">
        <v>10149</v>
      </c>
      <c r="AF62" s="208"/>
      <c r="AG62" s="170"/>
      <c r="AH62" s="208"/>
      <c r="AI62" s="170"/>
      <c r="AJ62" s="232"/>
      <c r="AK62" s="170">
        <f t="shared" si="6"/>
        <v>10149</v>
      </c>
      <c r="AL62" s="270">
        <v>0</v>
      </c>
      <c r="AM62" s="170">
        <v>0</v>
      </c>
      <c r="AN62" s="270">
        <v>34</v>
      </c>
      <c r="AO62" s="170">
        <f t="shared" si="2"/>
        <v>10149</v>
      </c>
      <c r="AP62" s="233"/>
      <c r="AQ62" s="233"/>
      <c r="AR62" s="170">
        <v>298.5</v>
      </c>
      <c r="AS62" s="170">
        <f t="shared" si="3"/>
        <v>0</v>
      </c>
      <c r="AT62" s="233">
        <f>34-34</f>
        <v>0</v>
      </c>
      <c r="AU62" s="386">
        <f t="shared" si="4"/>
        <v>0</v>
      </c>
      <c r="AV62" s="233">
        <f t="shared" si="5"/>
        <v>0</v>
      </c>
    </row>
    <row r="63" spans="1:48" s="62" customFormat="1" ht="25.5" customHeight="1">
      <c r="A63" s="59"/>
      <c r="B63" s="60"/>
      <c r="C63" s="60"/>
      <c r="D63" s="22"/>
      <c r="E63" s="79" t="s">
        <v>24</v>
      </c>
      <c r="F63" s="140" t="s">
        <v>55</v>
      </c>
      <c r="G63" s="222" t="s">
        <v>114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153</v>
      </c>
      <c r="V63" s="115">
        <v>613</v>
      </c>
      <c r="W63" s="114">
        <v>43193</v>
      </c>
      <c r="X63" s="193">
        <v>97</v>
      </c>
      <c r="Y63" s="200">
        <v>43202</v>
      </c>
      <c r="Z63" s="193" t="s">
        <v>154</v>
      </c>
      <c r="AA63" s="200">
        <v>43214</v>
      </c>
      <c r="AB63" s="22">
        <v>0</v>
      </c>
      <c r="AC63" s="170">
        <v>0</v>
      </c>
      <c r="AD63" s="209">
        <v>270</v>
      </c>
      <c r="AE63" s="194">
        <v>80595</v>
      </c>
      <c r="AF63" s="209"/>
      <c r="AG63" s="194"/>
      <c r="AH63" s="209"/>
      <c r="AI63" s="194"/>
      <c r="AJ63" s="232"/>
      <c r="AK63" s="170">
        <f t="shared" si="6"/>
        <v>80595</v>
      </c>
      <c r="AL63" s="272">
        <v>0</v>
      </c>
      <c r="AM63" s="212">
        <v>0</v>
      </c>
      <c r="AN63" s="269">
        <v>270</v>
      </c>
      <c r="AO63" s="217">
        <f t="shared" si="2"/>
        <v>80595</v>
      </c>
      <c r="AP63" s="232"/>
      <c r="AQ63" s="229"/>
      <c r="AR63" s="212">
        <v>298.5</v>
      </c>
      <c r="AS63" s="212">
        <f t="shared" si="3"/>
        <v>0</v>
      </c>
      <c r="AT63" s="227">
        <f>270-16-60-180</f>
        <v>14</v>
      </c>
      <c r="AU63" s="228">
        <f t="shared" si="4"/>
        <v>4179</v>
      </c>
      <c r="AV63" s="279">
        <f t="shared" si="5"/>
        <v>14</v>
      </c>
    </row>
    <row r="64" spans="1:48" s="62" customFormat="1" ht="25.5" customHeight="1">
      <c r="A64" s="59"/>
      <c r="B64" s="60"/>
      <c r="C64" s="60"/>
      <c r="D64" s="22"/>
      <c r="E64" s="79" t="s">
        <v>24</v>
      </c>
      <c r="F64" s="140" t="s">
        <v>55</v>
      </c>
      <c r="G64" s="222" t="s">
        <v>114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115</v>
      </c>
      <c r="V64" s="115">
        <v>612</v>
      </c>
      <c r="W64" s="114">
        <v>43193</v>
      </c>
      <c r="X64" s="193">
        <v>97</v>
      </c>
      <c r="Y64" s="200">
        <v>43202</v>
      </c>
      <c r="Z64" s="193" t="s">
        <v>155</v>
      </c>
      <c r="AA64" s="200">
        <v>43214</v>
      </c>
      <c r="AB64" s="22">
        <v>0</v>
      </c>
      <c r="AC64" s="170">
        <v>0</v>
      </c>
      <c r="AD64" s="209">
        <v>40</v>
      </c>
      <c r="AE64" s="194">
        <v>11940</v>
      </c>
      <c r="AF64" s="209"/>
      <c r="AG64" s="194"/>
      <c r="AH64" s="209"/>
      <c r="AI64" s="194"/>
      <c r="AJ64" s="232"/>
      <c r="AK64" s="170">
        <f t="shared" si="6"/>
        <v>11940</v>
      </c>
      <c r="AL64" s="272">
        <v>0</v>
      </c>
      <c r="AM64" s="212">
        <v>0</v>
      </c>
      <c r="AN64" s="269">
        <v>40</v>
      </c>
      <c r="AO64" s="217">
        <f t="shared" si="2"/>
        <v>11940</v>
      </c>
      <c r="AP64" s="232"/>
      <c r="AQ64" s="229"/>
      <c r="AR64" s="212">
        <v>298.5</v>
      </c>
      <c r="AS64" s="212">
        <f t="shared" si="3"/>
        <v>0</v>
      </c>
      <c r="AT64" s="227">
        <v>40</v>
      </c>
      <c r="AU64" s="228">
        <f t="shared" si="4"/>
        <v>11940</v>
      </c>
      <c r="AV64" s="279">
        <f t="shared" si="5"/>
        <v>40</v>
      </c>
    </row>
    <row r="65" spans="1:48" s="62" customFormat="1" ht="25.5" customHeight="1">
      <c r="A65" s="59"/>
      <c r="B65" s="60"/>
      <c r="C65" s="60"/>
      <c r="D65" s="22"/>
      <c r="E65" s="79"/>
      <c r="F65" s="140" t="s">
        <v>55</v>
      </c>
      <c r="G65" s="222" t="s">
        <v>114</v>
      </c>
      <c r="H65" s="193"/>
      <c r="I65" s="193"/>
      <c r="J65" s="193"/>
      <c r="K65" s="193"/>
      <c r="L65" s="243"/>
      <c r="M65" s="242"/>
      <c r="N65" s="243"/>
      <c r="O65" s="193"/>
      <c r="P65" s="243"/>
      <c r="Q65" s="193"/>
      <c r="R65" s="243"/>
      <c r="S65" s="193"/>
      <c r="T65" s="243"/>
      <c r="U65" s="203" t="s">
        <v>244</v>
      </c>
      <c r="V65" s="115"/>
      <c r="W65" s="114"/>
      <c r="X65" s="193"/>
      <c r="Y65" s="200"/>
      <c r="Z65" s="193"/>
      <c r="AA65" s="200"/>
      <c r="AB65" s="22"/>
      <c r="AC65" s="170"/>
      <c r="AD65" s="209"/>
      <c r="AE65" s="194"/>
      <c r="AF65" s="209"/>
      <c r="AG65" s="194"/>
      <c r="AH65" s="209"/>
      <c r="AI65" s="194"/>
      <c r="AJ65" s="232"/>
      <c r="AK65" s="170"/>
      <c r="AL65" s="272"/>
      <c r="AM65" s="212"/>
      <c r="AN65" s="269"/>
      <c r="AO65" s="217"/>
      <c r="AP65" s="232"/>
      <c r="AQ65" s="229"/>
      <c r="AR65" s="212"/>
      <c r="AS65" s="212"/>
      <c r="AT65" s="227">
        <v>6</v>
      </c>
      <c r="AU65" s="228"/>
      <c r="AV65" s="279">
        <f t="shared" si="5"/>
        <v>6</v>
      </c>
    </row>
    <row r="66" spans="1:48" s="62" customFormat="1" ht="25.5" hidden="1" customHeight="1">
      <c r="A66" s="59"/>
      <c r="B66" s="60"/>
      <c r="C66" s="60"/>
      <c r="D66" s="22"/>
      <c r="E66" s="79" t="s">
        <v>24</v>
      </c>
      <c r="F66" s="51" t="s">
        <v>250</v>
      </c>
      <c r="G66" s="275" t="s">
        <v>140</v>
      </c>
      <c r="H66" s="115" t="s">
        <v>91</v>
      </c>
      <c r="I66" s="115" t="s">
        <v>91</v>
      </c>
      <c r="J66" s="115">
        <v>1080</v>
      </c>
      <c r="K66" s="115">
        <v>2</v>
      </c>
      <c r="L66" s="276">
        <v>304.58999999999997</v>
      </c>
      <c r="M66" s="277">
        <f t="shared" si="0"/>
        <v>2160</v>
      </c>
      <c r="N66" s="276">
        <f t="shared" si="1"/>
        <v>657914.39999999991</v>
      </c>
      <c r="O66" s="115">
        <v>180</v>
      </c>
      <c r="P66" s="276">
        <v>49908.6</v>
      </c>
      <c r="Q66" s="115">
        <v>1080</v>
      </c>
      <c r="R66" s="276">
        <v>323838</v>
      </c>
      <c r="S66" s="115">
        <v>602</v>
      </c>
      <c r="T66" s="276">
        <v>183363.18</v>
      </c>
      <c r="U66" s="278" t="s">
        <v>139</v>
      </c>
      <c r="V66" s="115">
        <v>427</v>
      </c>
      <c r="W66" s="114">
        <v>43164</v>
      </c>
      <c r="X66" s="115" t="s">
        <v>138</v>
      </c>
      <c r="Y66" s="221">
        <v>43164</v>
      </c>
      <c r="Z66" s="115"/>
      <c r="AA66" s="115"/>
      <c r="AB66" s="22">
        <v>0</v>
      </c>
      <c r="AC66" s="170">
        <v>0</v>
      </c>
      <c r="AD66" s="208">
        <v>56</v>
      </c>
      <c r="AE66" s="170">
        <v>16794.400000000001</v>
      </c>
      <c r="AF66" s="208"/>
      <c r="AG66" s="170"/>
      <c r="AH66" s="208"/>
      <c r="AI66" s="170"/>
      <c r="AJ66" s="232"/>
      <c r="AK66" s="170">
        <f t="shared" si="6"/>
        <v>16794.400000000001</v>
      </c>
      <c r="AL66" s="270">
        <v>0</v>
      </c>
      <c r="AM66" s="170">
        <v>0</v>
      </c>
      <c r="AN66" s="270">
        <v>56</v>
      </c>
      <c r="AO66" s="170">
        <f t="shared" si="2"/>
        <v>16794.400000000001</v>
      </c>
      <c r="AP66" s="233"/>
      <c r="AQ66" s="233"/>
      <c r="AR66" s="170">
        <v>299.89999999999998</v>
      </c>
      <c r="AS66" s="170">
        <f t="shared" si="3"/>
        <v>0</v>
      </c>
      <c r="AT66" s="233">
        <f>18-18</f>
        <v>0</v>
      </c>
      <c r="AU66" s="386">
        <f t="shared" si="4"/>
        <v>0</v>
      </c>
      <c r="AV66" s="279">
        <f t="shared" si="5"/>
        <v>0</v>
      </c>
    </row>
    <row r="67" spans="1:48" s="62" customFormat="1" ht="25.5" customHeight="1">
      <c r="A67" s="59"/>
      <c r="B67" s="60"/>
      <c r="C67" s="427"/>
      <c r="D67" s="428"/>
      <c r="E67" s="79"/>
      <c r="F67" s="140" t="s">
        <v>55</v>
      </c>
      <c r="G67" s="222" t="s">
        <v>114</v>
      </c>
      <c r="H67" s="115"/>
      <c r="I67" s="115"/>
      <c r="J67" s="115"/>
      <c r="K67" s="115"/>
      <c r="L67" s="276"/>
      <c r="M67" s="277"/>
      <c r="N67" s="276"/>
      <c r="O67" s="115"/>
      <c r="P67" s="276"/>
      <c r="Q67" s="115"/>
      <c r="R67" s="276"/>
      <c r="S67" s="115"/>
      <c r="T67" s="276"/>
      <c r="U67" s="203" t="s">
        <v>262</v>
      </c>
      <c r="V67" s="115"/>
      <c r="W67" s="114"/>
      <c r="X67" s="115"/>
      <c r="Y67" s="221"/>
      <c r="Z67" s="115"/>
      <c r="AA67" s="115"/>
      <c r="AB67" s="22"/>
      <c r="AC67" s="170"/>
      <c r="AD67" s="208"/>
      <c r="AE67" s="170"/>
      <c r="AF67" s="208"/>
      <c r="AG67" s="170"/>
      <c r="AH67" s="208"/>
      <c r="AI67" s="170"/>
      <c r="AJ67" s="232">
        <v>234</v>
      </c>
      <c r="AK67" s="170"/>
      <c r="AL67" s="270"/>
      <c r="AM67" s="170"/>
      <c r="AN67" s="270"/>
      <c r="AO67" s="170"/>
      <c r="AP67" s="233"/>
      <c r="AQ67" s="233"/>
      <c r="AR67" s="170"/>
      <c r="AS67" s="170"/>
      <c r="AT67" s="227">
        <v>234</v>
      </c>
      <c r="AU67" s="386"/>
      <c r="AV67" s="279">
        <f t="shared" si="5"/>
        <v>234</v>
      </c>
    </row>
    <row r="68" spans="1:48" s="62" customFormat="1" ht="25.5" customHeight="1">
      <c r="A68" s="59"/>
      <c r="B68" s="60"/>
      <c r="C68" s="427"/>
      <c r="D68" s="428"/>
      <c r="E68" s="79"/>
      <c r="F68" s="140" t="s">
        <v>55</v>
      </c>
      <c r="G68" s="222" t="s">
        <v>114</v>
      </c>
      <c r="H68" s="115"/>
      <c r="I68" s="115"/>
      <c r="J68" s="115"/>
      <c r="K68" s="115"/>
      <c r="L68" s="276"/>
      <c r="M68" s="277"/>
      <c r="N68" s="276"/>
      <c r="O68" s="115"/>
      <c r="P68" s="276"/>
      <c r="Q68" s="115"/>
      <c r="R68" s="276"/>
      <c r="S68" s="115"/>
      <c r="T68" s="276"/>
      <c r="U68" s="203" t="s">
        <v>263</v>
      </c>
      <c r="V68" s="115"/>
      <c r="W68" s="114"/>
      <c r="X68" s="115"/>
      <c r="Y68" s="221"/>
      <c r="Z68" s="115"/>
      <c r="AA68" s="115"/>
      <c r="AB68" s="22"/>
      <c r="AC68" s="170"/>
      <c r="AD68" s="208"/>
      <c r="AE68" s="170"/>
      <c r="AF68" s="208"/>
      <c r="AG68" s="170"/>
      <c r="AH68" s="208"/>
      <c r="AI68" s="170"/>
      <c r="AJ68" s="232">
        <v>14</v>
      </c>
      <c r="AK68" s="170"/>
      <c r="AL68" s="270"/>
      <c r="AM68" s="170"/>
      <c r="AN68" s="270"/>
      <c r="AO68" s="170"/>
      <c r="AP68" s="233"/>
      <c r="AQ68" s="233"/>
      <c r="AR68" s="170"/>
      <c r="AS68" s="170"/>
      <c r="AT68" s="227">
        <v>14</v>
      </c>
      <c r="AU68" s="386"/>
      <c r="AV68" s="279">
        <f t="shared" si="5"/>
        <v>14</v>
      </c>
    </row>
    <row r="69" spans="1:48" s="62" customFormat="1" ht="25.5" customHeight="1">
      <c r="A69" s="59"/>
      <c r="B69" s="60"/>
      <c r="C69" s="427"/>
      <c r="D69" s="428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 t="shared" si="5"/>
        <v>36</v>
      </c>
    </row>
    <row r="70" spans="1:48" s="62" customFormat="1" ht="25.5" customHeight="1">
      <c r="A70" s="59"/>
      <c r="B70" s="60"/>
      <c r="C70" s="60"/>
      <c r="D70" s="22"/>
      <c r="E70" s="79" t="s">
        <v>24</v>
      </c>
      <c r="F70" s="173" t="s">
        <v>64</v>
      </c>
      <c r="G70" s="222" t="s">
        <v>140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157</v>
      </c>
      <c r="V70" s="115">
        <v>605</v>
      </c>
      <c r="W70" s="114">
        <v>43193</v>
      </c>
      <c r="X70" s="193">
        <v>97</v>
      </c>
      <c r="Y70" s="200">
        <v>43202</v>
      </c>
      <c r="Z70" s="193" t="s">
        <v>158</v>
      </c>
      <c r="AA70" s="200">
        <v>43216</v>
      </c>
      <c r="AB70" s="22">
        <v>0</v>
      </c>
      <c r="AC70" s="170">
        <v>0</v>
      </c>
      <c r="AD70" s="209">
        <v>510</v>
      </c>
      <c r="AE70" s="194">
        <v>152949</v>
      </c>
      <c r="AF70" s="209"/>
      <c r="AG70" s="194"/>
      <c r="AH70" s="209"/>
      <c r="AI70" s="194"/>
      <c r="AJ70" s="232"/>
      <c r="AK70" s="170">
        <f t="shared" si="6"/>
        <v>152949</v>
      </c>
      <c r="AL70" s="272">
        <v>0</v>
      </c>
      <c r="AM70" s="212">
        <v>0</v>
      </c>
      <c r="AN70" s="269">
        <v>510</v>
      </c>
      <c r="AO70" s="217">
        <f t="shared" si="2"/>
        <v>152949</v>
      </c>
      <c r="AP70" s="232"/>
      <c r="AQ70" s="229"/>
      <c r="AR70" s="212">
        <v>299.89999999999998</v>
      </c>
      <c r="AS70" s="212">
        <f t="shared" si="3"/>
        <v>0</v>
      </c>
      <c r="AT70" s="227">
        <f>510-42-60-60-120-60</f>
        <v>168</v>
      </c>
      <c r="AU70" s="228">
        <f t="shared" si="4"/>
        <v>50383.199999999997</v>
      </c>
      <c r="AV70" s="279">
        <f t="shared" si="5"/>
        <v>168</v>
      </c>
    </row>
    <row r="71" spans="1:48" s="62" customFormat="1" ht="25.5" customHeight="1">
      <c r="A71" s="59"/>
      <c r="B71" s="60"/>
      <c r="C71" s="60"/>
      <c r="D71" s="22"/>
      <c r="E71" s="79"/>
      <c r="F71" s="173" t="s">
        <v>64</v>
      </c>
      <c r="G71" s="222" t="s">
        <v>140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 t="s">
        <v>244</v>
      </c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2"/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368</v>
      </c>
      <c r="AU71" s="228"/>
      <c r="AV71" s="279">
        <f t="shared" si="5"/>
        <v>368</v>
      </c>
    </row>
    <row r="72" spans="1:48" s="62" customFormat="1" ht="25.5" customHeight="1">
      <c r="A72" s="59"/>
      <c r="B72" s="60"/>
      <c r="C72" s="427"/>
      <c r="D72" s="428"/>
      <c r="E72" s="79"/>
      <c r="F72" s="173" t="s">
        <v>64</v>
      </c>
      <c r="G72" s="222" t="s">
        <v>140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 t="s">
        <v>264</v>
      </c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2">
        <v>224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224</v>
      </c>
      <c r="AU72" s="228"/>
      <c r="AV72" s="279">
        <f t="shared" si="5"/>
        <v>224</v>
      </c>
    </row>
    <row r="73" spans="1:48" s="62" customFormat="1" ht="25.5" customHeight="1">
      <c r="A73" s="59"/>
      <c r="B73" s="60"/>
      <c r="C73" s="427"/>
      <c r="D73" s="428"/>
      <c r="E73" s="79"/>
      <c r="F73" s="173" t="s">
        <v>64</v>
      </c>
      <c r="G73" s="222" t="s">
        <v>140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 t="s">
        <v>244</v>
      </c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>
        <v>176</v>
      </c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176</v>
      </c>
      <c r="AU73" s="228"/>
      <c r="AV73" s="279">
        <f t="shared" si="5"/>
        <v>176</v>
      </c>
    </row>
    <row r="74" spans="1:48" s="62" customFormat="1" ht="31.5">
      <c r="A74" s="59"/>
      <c r="B74" s="60"/>
      <c r="C74" s="60"/>
      <c r="D74" s="22"/>
      <c r="E74" s="79" t="s">
        <v>24</v>
      </c>
      <c r="F74" s="51" t="s">
        <v>57</v>
      </c>
      <c r="G74" s="275" t="s">
        <v>121</v>
      </c>
      <c r="H74" s="115" t="s">
        <v>91</v>
      </c>
      <c r="I74" s="115" t="s">
        <v>91</v>
      </c>
      <c r="J74" s="115">
        <v>480</v>
      </c>
      <c r="K74" s="115">
        <v>3</v>
      </c>
      <c r="L74" s="276">
        <v>19.399999999999999</v>
      </c>
      <c r="M74" s="277">
        <f>J74*K74</f>
        <v>1440</v>
      </c>
      <c r="N74" s="276">
        <f t="shared" si="1"/>
        <v>27935.999999999996</v>
      </c>
      <c r="O74" s="115">
        <v>6637</v>
      </c>
      <c r="P74" s="276">
        <v>108249.47</v>
      </c>
      <c r="Q74" s="115">
        <v>4000</v>
      </c>
      <c r="R74" s="276">
        <v>89720</v>
      </c>
      <c r="S74" s="115"/>
      <c r="T74" s="276"/>
      <c r="U74" s="278" t="s">
        <v>120</v>
      </c>
      <c r="V74" s="115">
        <v>1745</v>
      </c>
      <c r="W74" s="114">
        <v>43096</v>
      </c>
      <c r="X74" s="115" t="s">
        <v>117</v>
      </c>
      <c r="Y74" s="221">
        <v>43109</v>
      </c>
      <c r="Z74" s="115" t="s">
        <v>118</v>
      </c>
      <c r="AA74" s="221">
        <v>43133</v>
      </c>
      <c r="AB74" s="22">
        <v>0</v>
      </c>
      <c r="AC74" s="170">
        <v>0</v>
      </c>
      <c r="AD74" s="208">
        <v>6637</v>
      </c>
      <c r="AE74" s="170">
        <v>102541.65</v>
      </c>
      <c r="AF74" s="208"/>
      <c r="AG74" s="170"/>
      <c r="AH74" s="208"/>
      <c r="AI74" s="170"/>
      <c r="AJ74" s="233"/>
      <c r="AK74" s="170">
        <f t="shared" si="6"/>
        <v>102541.65</v>
      </c>
      <c r="AL74" s="270">
        <f>180+290</f>
        <v>470</v>
      </c>
      <c r="AM74" s="170">
        <f>AL74*AR74</f>
        <v>7261.5</v>
      </c>
      <c r="AN74" s="270">
        <v>6167</v>
      </c>
      <c r="AO74" s="170">
        <f t="shared" si="2"/>
        <v>95280.15</v>
      </c>
      <c r="AP74" s="233"/>
      <c r="AQ74" s="233"/>
      <c r="AR74" s="170">
        <v>15.45</v>
      </c>
      <c r="AS74" s="170">
        <f t="shared" si="3"/>
        <v>0</v>
      </c>
      <c r="AT74" s="233">
        <f>5867-550-40-4737-460-30-50</f>
        <v>0</v>
      </c>
      <c r="AU74" s="386">
        <f t="shared" si="4"/>
        <v>0</v>
      </c>
      <c r="AV74" s="233">
        <f t="shared" si="5"/>
        <v>0</v>
      </c>
    </row>
    <row r="75" spans="1:48" s="62" customFormat="1" ht="31.5">
      <c r="A75" s="59"/>
      <c r="B75" s="60"/>
      <c r="C75" s="60"/>
      <c r="D75" s="22"/>
      <c r="E75" s="79" t="s">
        <v>24</v>
      </c>
      <c r="F75" s="51" t="s">
        <v>57</v>
      </c>
      <c r="G75" s="275" t="s">
        <v>121</v>
      </c>
      <c r="H75" s="115" t="s">
        <v>91</v>
      </c>
      <c r="I75" s="115" t="s">
        <v>91</v>
      </c>
      <c r="J75" s="115"/>
      <c r="K75" s="115"/>
      <c r="L75" s="276"/>
      <c r="M75" s="277">
        <f t="shared" ref="M75:M76" si="7">J75*K75</f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173</v>
      </c>
      <c r="V75" s="115">
        <v>834</v>
      </c>
      <c r="W75" s="114">
        <v>43222</v>
      </c>
      <c r="X75" s="115" t="s">
        <v>162</v>
      </c>
      <c r="Y75" s="221">
        <v>43242</v>
      </c>
      <c r="Z75" s="115"/>
      <c r="AA75" s="115"/>
      <c r="AB75" s="22">
        <v>0</v>
      </c>
      <c r="AC75" s="170">
        <v>0</v>
      </c>
      <c r="AD75" s="208">
        <v>144</v>
      </c>
      <c r="AE75" s="170">
        <v>2142.7199999999998</v>
      </c>
      <c r="AF75" s="208"/>
      <c r="AG75" s="170"/>
      <c r="AH75" s="208"/>
      <c r="AI75" s="170"/>
      <c r="AJ75" s="233"/>
      <c r="AK75" s="170">
        <f t="shared" si="6"/>
        <v>2142.7199999999998</v>
      </c>
      <c r="AL75" s="270">
        <v>0</v>
      </c>
      <c r="AM75" s="170">
        <v>0</v>
      </c>
      <c r="AN75" s="270">
        <v>144</v>
      </c>
      <c r="AO75" s="170">
        <f t="shared" si="2"/>
        <v>2142.7199999999998</v>
      </c>
      <c r="AP75" s="233"/>
      <c r="AQ75" s="233"/>
      <c r="AR75" s="170">
        <v>14.88</v>
      </c>
      <c r="AS75" s="170">
        <f t="shared" si="3"/>
        <v>0</v>
      </c>
      <c r="AT75" s="233">
        <f>144-144</f>
        <v>0</v>
      </c>
      <c r="AU75" s="386">
        <f t="shared" si="4"/>
        <v>0</v>
      </c>
      <c r="AV75" s="233">
        <f t="shared" si="5"/>
        <v>0</v>
      </c>
    </row>
    <row r="76" spans="1:48" s="62" customFormat="1" ht="31.5">
      <c r="A76" s="59"/>
      <c r="B76" s="60"/>
      <c r="C76" s="60"/>
      <c r="D76" s="22"/>
      <c r="E76" s="79" t="s">
        <v>24</v>
      </c>
      <c r="F76" s="51" t="s">
        <v>57</v>
      </c>
      <c r="G76" s="275" t="s">
        <v>121</v>
      </c>
      <c r="H76" s="115" t="s">
        <v>91</v>
      </c>
      <c r="I76" s="115" t="s">
        <v>91</v>
      </c>
      <c r="J76" s="115"/>
      <c r="K76" s="115"/>
      <c r="L76" s="276"/>
      <c r="M76" s="277">
        <f t="shared" si="7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183</v>
      </c>
      <c r="V76" s="115">
        <v>1418</v>
      </c>
      <c r="W76" s="114">
        <v>43312</v>
      </c>
      <c r="X76" s="115" t="s">
        <v>184</v>
      </c>
      <c r="Y76" s="221">
        <v>43332</v>
      </c>
      <c r="Z76" s="115" t="s">
        <v>185</v>
      </c>
      <c r="AA76" s="221">
        <v>43320</v>
      </c>
      <c r="AB76" s="22">
        <v>0</v>
      </c>
      <c r="AC76" s="170">
        <v>0</v>
      </c>
      <c r="AD76" s="208">
        <v>76</v>
      </c>
      <c r="AE76" s="170">
        <v>1130.8800000000001</v>
      </c>
      <c r="AF76" s="208"/>
      <c r="AG76" s="170"/>
      <c r="AH76" s="208"/>
      <c r="AI76" s="170"/>
      <c r="AJ76" s="233"/>
      <c r="AK76" s="170">
        <f t="shared" si="6"/>
        <v>1130.8800000000001</v>
      </c>
      <c r="AL76" s="270">
        <v>0</v>
      </c>
      <c r="AM76" s="170">
        <v>0</v>
      </c>
      <c r="AN76" s="270">
        <v>76</v>
      </c>
      <c r="AO76" s="170">
        <v>0</v>
      </c>
      <c r="AP76" s="233"/>
      <c r="AQ76" s="233"/>
      <c r="AR76" s="170">
        <v>14.88</v>
      </c>
      <c r="AS76" s="170">
        <f t="shared" si="3"/>
        <v>0</v>
      </c>
      <c r="AT76" s="233">
        <f>76-76</f>
        <v>0</v>
      </c>
      <c r="AU76" s="386">
        <f t="shared" si="4"/>
        <v>0</v>
      </c>
      <c r="AV76" s="233">
        <f t="shared" si="5"/>
        <v>0</v>
      </c>
    </row>
    <row r="77" spans="1:48" s="62" customFormat="1" ht="31.5">
      <c r="A77" s="59"/>
      <c r="B77" s="60"/>
      <c r="C77" s="60"/>
      <c r="D77" s="22"/>
      <c r="E77" s="79"/>
      <c r="F77" s="51" t="s">
        <v>57</v>
      </c>
      <c r="G77" s="275" t="s">
        <v>121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78"/>
      <c r="V77" s="115"/>
      <c r="W77" s="114"/>
      <c r="X77" s="115"/>
      <c r="Y77" s="221"/>
      <c r="Z77" s="115"/>
      <c r="AA77" s="221"/>
      <c r="AB77" s="22"/>
      <c r="AC77" s="170"/>
      <c r="AD77" s="208"/>
      <c r="AE77" s="170"/>
      <c r="AF77" s="208"/>
      <c r="AG77" s="170"/>
      <c r="AH77" s="208"/>
      <c r="AI77" s="170"/>
      <c r="AJ77" s="233"/>
      <c r="AK77" s="170"/>
      <c r="AL77" s="270"/>
      <c r="AM77" s="170"/>
      <c r="AN77" s="270"/>
      <c r="AO77" s="170"/>
      <c r="AP77" s="233"/>
      <c r="AQ77" s="233"/>
      <c r="AR77" s="170"/>
      <c r="AS77" s="170"/>
      <c r="AT77" s="233">
        <f>45-45</f>
        <v>0</v>
      </c>
      <c r="AU77" s="386"/>
      <c r="AV77" s="233">
        <f t="shared" si="5"/>
        <v>0</v>
      </c>
    </row>
    <row r="78" spans="1:48" s="62" customFormat="1" ht="31.5">
      <c r="A78" s="59"/>
      <c r="B78" s="60"/>
      <c r="C78" s="427"/>
      <c r="D78" s="428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766</v>
      </c>
      <c r="AU78" s="228"/>
      <c r="AV78" s="279">
        <f t="shared" si="5"/>
        <v>766</v>
      </c>
    </row>
    <row r="79" spans="1:48" s="62" customFormat="1" ht="26.25" customHeight="1">
      <c r="A79" s="59"/>
      <c r="B79" s="60"/>
      <c r="C79" s="60"/>
      <c r="D79" s="22"/>
      <c r="E79" s="79" t="s">
        <v>24</v>
      </c>
      <c r="F79" s="178" t="s">
        <v>58</v>
      </c>
      <c r="G79" s="222" t="s">
        <v>123</v>
      </c>
      <c r="H79" s="193" t="s">
        <v>91</v>
      </c>
      <c r="I79" s="193" t="s">
        <v>91</v>
      </c>
      <c r="J79" s="193">
        <v>5</v>
      </c>
      <c r="K79" s="193">
        <v>5</v>
      </c>
      <c r="L79" s="243">
        <v>2899.28</v>
      </c>
      <c r="M79" s="242">
        <f>J79*K79</f>
        <v>25</v>
      </c>
      <c r="N79" s="243">
        <f t="shared" si="1"/>
        <v>72482</v>
      </c>
      <c r="O79" s="193">
        <v>4</v>
      </c>
      <c r="P79" s="243">
        <v>8377.6</v>
      </c>
      <c r="Q79" s="193"/>
      <c r="R79" s="243"/>
      <c r="S79" s="193"/>
      <c r="T79" s="243"/>
      <c r="U79" s="203" t="s">
        <v>122</v>
      </c>
      <c r="V79" s="115">
        <v>1745</v>
      </c>
      <c r="W79" s="114">
        <v>43096</v>
      </c>
      <c r="X79" s="193" t="s">
        <v>117</v>
      </c>
      <c r="Y79" s="200">
        <v>43109</v>
      </c>
      <c r="Z79" s="193" t="s">
        <v>118</v>
      </c>
      <c r="AA79" s="200">
        <v>43133</v>
      </c>
      <c r="AB79" s="22">
        <v>0</v>
      </c>
      <c r="AC79" s="170">
        <v>0</v>
      </c>
      <c r="AD79" s="209">
        <v>4</v>
      </c>
      <c r="AE79" s="194">
        <v>9062.24</v>
      </c>
      <c r="AF79" s="209"/>
      <c r="AG79" s="194"/>
      <c r="AH79" s="209"/>
      <c r="AI79" s="194"/>
      <c r="AJ79" s="232"/>
      <c r="AK79" s="170">
        <f t="shared" si="6"/>
        <v>9062.24</v>
      </c>
      <c r="AL79" s="272">
        <v>0</v>
      </c>
      <c r="AM79" s="212">
        <v>0</v>
      </c>
      <c r="AN79" s="269">
        <v>4</v>
      </c>
      <c r="AO79" s="217">
        <f t="shared" ref="AO79:AO84" si="8">AC79+AK79-AM79</f>
        <v>9062.24</v>
      </c>
      <c r="AP79" s="232"/>
      <c r="AQ79" s="229"/>
      <c r="AR79" s="212">
        <v>2265.56</v>
      </c>
      <c r="AS79" s="212">
        <f t="shared" si="3"/>
        <v>0</v>
      </c>
      <c r="AT79" s="227">
        <v>4</v>
      </c>
      <c r="AU79" s="228">
        <f t="shared" si="4"/>
        <v>9062.24</v>
      </c>
      <c r="AV79" s="279">
        <f t="shared" si="5"/>
        <v>4</v>
      </c>
    </row>
    <row r="80" spans="1:48" s="62" customFormat="1" ht="26.25" customHeight="1">
      <c r="A80" s="59"/>
      <c r="B80" s="60"/>
      <c r="C80" s="60"/>
      <c r="D80" s="22"/>
      <c r="E80" s="79" t="s">
        <v>24</v>
      </c>
      <c r="F80" s="178" t="s">
        <v>58</v>
      </c>
      <c r="G80" s="222" t="s">
        <v>123</v>
      </c>
      <c r="H80" s="193" t="s">
        <v>91</v>
      </c>
      <c r="I80" s="193" t="s">
        <v>91</v>
      </c>
      <c r="J80" s="193"/>
      <c r="K80" s="193"/>
      <c r="L80" s="243"/>
      <c r="M80" s="242">
        <f t="shared" ref="M80:M84" si="9">J80*K80</f>
        <v>0</v>
      </c>
      <c r="N80" s="243">
        <f>L80*M80</f>
        <v>0</v>
      </c>
      <c r="O80" s="193"/>
      <c r="P80" s="243"/>
      <c r="Q80" s="193"/>
      <c r="R80" s="243"/>
      <c r="S80" s="193"/>
      <c r="T80" s="243"/>
      <c r="U80" s="203" t="s">
        <v>170</v>
      </c>
      <c r="V80" s="115">
        <v>834</v>
      </c>
      <c r="W80" s="114">
        <v>43222</v>
      </c>
      <c r="X80" s="193" t="s">
        <v>162</v>
      </c>
      <c r="Y80" s="200">
        <v>43242</v>
      </c>
      <c r="Z80" s="193"/>
      <c r="AA80" s="193"/>
      <c r="AB80" s="22">
        <v>0</v>
      </c>
      <c r="AC80" s="170">
        <v>0</v>
      </c>
      <c r="AD80" s="209">
        <v>2</v>
      </c>
      <c r="AE80" s="194">
        <v>4531.12</v>
      </c>
      <c r="AF80" s="209"/>
      <c r="AG80" s="194"/>
      <c r="AH80" s="209"/>
      <c r="AI80" s="194"/>
      <c r="AJ80" s="232"/>
      <c r="AK80" s="170">
        <f t="shared" si="6"/>
        <v>4531.12</v>
      </c>
      <c r="AL80" s="272">
        <v>0</v>
      </c>
      <c r="AM80" s="212">
        <v>0</v>
      </c>
      <c r="AN80" s="269">
        <v>2</v>
      </c>
      <c r="AO80" s="217">
        <f t="shared" si="8"/>
        <v>4531.12</v>
      </c>
      <c r="AP80" s="232"/>
      <c r="AQ80" s="229"/>
      <c r="AR80" s="212">
        <v>2265.56</v>
      </c>
      <c r="AS80" s="212">
        <f t="shared" si="3"/>
        <v>0</v>
      </c>
      <c r="AT80" s="227">
        <v>2</v>
      </c>
      <c r="AU80" s="228">
        <f t="shared" si="4"/>
        <v>4531.12</v>
      </c>
      <c r="AV80" s="279">
        <f t="shared" si="5"/>
        <v>2</v>
      </c>
    </row>
    <row r="81" spans="1:48" s="62" customFormat="1" ht="26.25" customHeight="1">
      <c r="A81" s="59"/>
      <c r="B81" s="60"/>
      <c r="C81" s="60"/>
      <c r="D81" s="22"/>
      <c r="E81" s="79" t="s">
        <v>24</v>
      </c>
      <c r="F81" s="161" t="s">
        <v>61</v>
      </c>
      <c r="G81" s="222" t="s">
        <v>127</v>
      </c>
      <c r="H81" s="193" t="s">
        <v>91</v>
      </c>
      <c r="I81" s="193" t="s">
        <v>91</v>
      </c>
      <c r="J81" s="193">
        <v>48</v>
      </c>
      <c r="K81" s="193">
        <v>3</v>
      </c>
      <c r="L81" s="243">
        <v>71.97</v>
      </c>
      <c r="M81" s="242">
        <f t="shared" si="9"/>
        <v>144</v>
      </c>
      <c r="N81" s="243">
        <f t="shared" ref="N81:N84" si="10">L81*M81</f>
        <v>10363.68</v>
      </c>
      <c r="O81" s="193">
        <v>14</v>
      </c>
      <c r="P81" s="243">
        <v>714.98</v>
      </c>
      <c r="Q81" s="193"/>
      <c r="R81" s="243"/>
      <c r="S81" s="193"/>
      <c r="T81" s="243"/>
      <c r="U81" s="203" t="s">
        <v>128</v>
      </c>
      <c r="V81" s="115">
        <v>135</v>
      </c>
      <c r="W81" s="114">
        <v>42761</v>
      </c>
      <c r="X81" s="193" t="s">
        <v>126</v>
      </c>
      <c r="Y81" s="200">
        <v>43130</v>
      </c>
      <c r="Z81" s="193"/>
      <c r="AA81" s="193"/>
      <c r="AB81" s="22">
        <v>0</v>
      </c>
      <c r="AC81" s="170">
        <v>0</v>
      </c>
      <c r="AD81" s="209">
        <v>14</v>
      </c>
      <c r="AE81" s="194">
        <v>774.48</v>
      </c>
      <c r="AF81" s="209"/>
      <c r="AG81" s="194"/>
      <c r="AH81" s="209"/>
      <c r="AI81" s="194"/>
      <c r="AJ81" s="232"/>
      <c r="AK81" s="170">
        <f t="shared" si="6"/>
        <v>774.48</v>
      </c>
      <c r="AL81" s="272">
        <v>0</v>
      </c>
      <c r="AM81" s="212">
        <v>0</v>
      </c>
      <c r="AN81" s="269">
        <v>14</v>
      </c>
      <c r="AO81" s="217">
        <f t="shared" si="8"/>
        <v>774.48</v>
      </c>
      <c r="AP81" s="232"/>
      <c r="AQ81" s="229"/>
      <c r="AR81" s="212">
        <v>55.32</v>
      </c>
      <c r="AS81" s="212">
        <f t="shared" si="3"/>
        <v>0</v>
      </c>
      <c r="AT81" s="227">
        <f>14-2</f>
        <v>12</v>
      </c>
      <c r="AU81" s="228">
        <f t="shared" si="4"/>
        <v>663.84</v>
      </c>
      <c r="AV81" s="279">
        <f t="shared" si="5"/>
        <v>12</v>
      </c>
    </row>
    <row r="82" spans="1:48" s="62" customFormat="1" ht="26.25" customHeight="1">
      <c r="A82" s="59"/>
      <c r="B82" s="60"/>
      <c r="C82" s="60"/>
      <c r="D82" s="22"/>
      <c r="E82" s="79" t="s">
        <v>24</v>
      </c>
      <c r="F82" s="161" t="s">
        <v>61</v>
      </c>
      <c r="G82" s="222" t="s">
        <v>127</v>
      </c>
      <c r="H82" s="193" t="s">
        <v>91</v>
      </c>
      <c r="I82" s="193" t="s">
        <v>91</v>
      </c>
      <c r="J82" s="193"/>
      <c r="K82" s="193"/>
      <c r="L82" s="243"/>
      <c r="M82" s="242">
        <f t="shared" si="9"/>
        <v>0</v>
      </c>
      <c r="N82" s="243">
        <f t="shared" si="10"/>
        <v>0</v>
      </c>
      <c r="O82" s="193"/>
      <c r="P82" s="243"/>
      <c r="Q82" s="193"/>
      <c r="R82" s="243"/>
      <c r="S82" s="193"/>
      <c r="T82" s="243"/>
      <c r="U82" s="203" t="s">
        <v>171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26</v>
      </c>
      <c r="AE82" s="194">
        <v>1438.32</v>
      </c>
      <c r="AF82" s="209"/>
      <c r="AG82" s="194"/>
      <c r="AH82" s="209"/>
      <c r="AI82" s="194"/>
      <c r="AJ82" s="232"/>
      <c r="AK82" s="170">
        <f t="shared" si="6"/>
        <v>1438.32</v>
      </c>
      <c r="AL82" s="272">
        <v>0</v>
      </c>
      <c r="AM82" s="212">
        <v>0</v>
      </c>
      <c r="AN82" s="269">
        <v>26</v>
      </c>
      <c r="AO82" s="217">
        <f t="shared" si="8"/>
        <v>1438.32</v>
      </c>
      <c r="AP82" s="232"/>
      <c r="AQ82" s="229"/>
      <c r="AR82" s="212">
        <v>55.32</v>
      </c>
      <c r="AS82" s="212">
        <f t="shared" ref="AS82:AS84" si="11">AQ82*AR82</f>
        <v>0</v>
      </c>
      <c r="AT82" s="227">
        <v>26</v>
      </c>
      <c r="AU82" s="228">
        <f t="shared" ref="AU82:AU84" si="12">AT82*AR82</f>
        <v>1438.32</v>
      </c>
      <c r="AV82" s="279">
        <f t="shared" ref="AV82:AV84" si="13">AT82</f>
        <v>26</v>
      </c>
    </row>
    <row r="83" spans="1:48" s="62" customFormat="1" ht="26.25" customHeight="1">
      <c r="A83" s="59"/>
      <c r="B83" s="60"/>
      <c r="C83" s="60"/>
      <c r="D83" s="22"/>
      <c r="E83" s="79" t="s">
        <v>24</v>
      </c>
      <c r="F83" s="179" t="s">
        <v>62</v>
      </c>
      <c r="G83" s="222" t="s">
        <v>129</v>
      </c>
      <c r="H83" s="193" t="s">
        <v>91</v>
      </c>
      <c r="I83" s="193" t="s">
        <v>91</v>
      </c>
      <c r="J83" s="193">
        <v>24</v>
      </c>
      <c r="K83" s="193">
        <v>4</v>
      </c>
      <c r="L83" s="243">
        <v>984.1</v>
      </c>
      <c r="M83" s="242">
        <f t="shared" si="9"/>
        <v>96</v>
      </c>
      <c r="N83" s="243">
        <f t="shared" si="10"/>
        <v>94473.600000000006</v>
      </c>
      <c r="O83" s="193">
        <v>6</v>
      </c>
      <c r="P83" s="243">
        <v>4721.3999999999996</v>
      </c>
      <c r="Q83" s="193"/>
      <c r="R83" s="243"/>
      <c r="S83" s="193"/>
      <c r="T83" s="243"/>
      <c r="U83" s="203" t="s">
        <v>130</v>
      </c>
      <c r="V83" s="115">
        <v>135</v>
      </c>
      <c r="W83" s="114">
        <v>42761</v>
      </c>
      <c r="X83" s="193" t="s">
        <v>126</v>
      </c>
      <c r="Y83" s="200">
        <v>43130</v>
      </c>
      <c r="Z83" s="193"/>
      <c r="AA83" s="193"/>
      <c r="AB83" s="22">
        <v>0</v>
      </c>
      <c r="AC83" s="170">
        <v>0</v>
      </c>
      <c r="AD83" s="209">
        <v>6</v>
      </c>
      <c r="AE83" s="194">
        <v>4549.08</v>
      </c>
      <c r="AF83" s="209"/>
      <c r="AG83" s="194"/>
      <c r="AH83" s="209"/>
      <c r="AI83" s="194"/>
      <c r="AJ83" s="232"/>
      <c r="AK83" s="170">
        <f t="shared" ref="AK83:AK84" si="14">AE83+AG83+AI83</f>
        <v>4549.08</v>
      </c>
      <c r="AL83" s="272">
        <v>0</v>
      </c>
      <c r="AM83" s="212">
        <v>0</v>
      </c>
      <c r="AN83" s="269">
        <v>6</v>
      </c>
      <c r="AO83" s="217">
        <f t="shared" si="8"/>
        <v>4549.08</v>
      </c>
      <c r="AP83" s="232"/>
      <c r="AQ83" s="229"/>
      <c r="AR83" s="212">
        <v>758.18</v>
      </c>
      <c r="AS83" s="212">
        <f t="shared" si="11"/>
        <v>0</v>
      </c>
      <c r="AT83" s="227">
        <v>6</v>
      </c>
      <c r="AU83" s="228">
        <f t="shared" si="12"/>
        <v>4549.08</v>
      </c>
      <c r="AV83" s="279">
        <f t="shared" si="13"/>
        <v>6</v>
      </c>
    </row>
    <row r="84" spans="1:48" s="62" customFormat="1" ht="26.25" customHeight="1">
      <c r="A84" s="59"/>
      <c r="B84" s="60"/>
      <c r="C84" s="60"/>
      <c r="D84" s="22"/>
      <c r="E84" s="79" t="s">
        <v>24</v>
      </c>
      <c r="F84" s="179" t="s">
        <v>62</v>
      </c>
      <c r="G84" s="222" t="s">
        <v>129</v>
      </c>
      <c r="H84" s="193" t="s">
        <v>91</v>
      </c>
      <c r="I84" s="193" t="s">
        <v>91</v>
      </c>
      <c r="J84" s="193"/>
      <c r="K84" s="193"/>
      <c r="L84" s="243"/>
      <c r="M84" s="242">
        <f t="shared" si="9"/>
        <v>0</v>
      </c>
      <c r="N84" s="243">
        <f t="shared" si="10"/>
        <v>0</v>
      </c>
      <c r="O84" s="193"/>
      <c r="P84" s="243"/>
      <c r="Q84" s="193"/>
      <c r="R84" s="243"/>
      <c r="S84" s="193"/>
      <c r="T84" s="243"/>
      <c r="U84" s="203" t="s">
        <v>172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10</v>
      </c>
      <c r="AE84" s="194">
        <v>7581.8</v>
      </c>
      <c r="AF84" s="209"/>
      <c r="AG84" s="194"/>
      <c r="AH84" s="209"/>
      <c r="AI84" s="194"/>
      <c r="AJ84" s="232"/>
      <c r="AK84" s="170">
        <f t="shared" si="14"/>
        <v>7581.8</v>
      </c>
      <c r="AL84" s="272">
        <v>0</v>
      </c>
      <c r="AM84" s="212">
        <v>0</v>
      </c>
      <c r="AN84" s="269">
        <v>10</v>
      </c>
      <c r="AO84" s="217">
        <f t="shared" si="8"/>
        <v>7581.8</v>
      </c>
      <c r="AP84" s="232"/>
      <c r="AQ84" s="229"/>
      <c r="AR84" s="212">
        <v>758.18</v>
      </c>
      <c r="AS84" s="212">
        <f t="shared" si="11"/>
        <v>0</v>
      </c>
      <c r="AT84" s="227">
        <v>10</v>
      </c>
      <c r="AU84" s="228">
        <f t="shared" si="12"/>
        <v>7581.7999999999993</v>
      </c>
      <c r="AV84" s="279">
        <f t="shared" si="13"/>
        <v>10</v>
      </c>
    </row>
    <row r="85" spans="1:48" s="62" customFormat="1" ht="26.25" customHeight="1">
      <c r="A85" s="59"/>
      <c r="B85" s="60"/>
      <c r="C85" s="60"/>
      <c r="D85" s="22"/>
      <c r="E85" s="79"/>
      <c r="F85" s="179" t="s">
        <v>62</v>
      </c>
      <c r="G85" s="222" t="s">
        <v>129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/>
      <c r="V85" s="115"/>
      <c r="W85" s="114"/>
      <c r="X85" s="193"/>
      <c r="Y85" s="200"/>
      <c r="Z85" s="193"/>
      <c r="AA85" s="193"/>
      <c r="AB85" s="22"/>
      <c r="AC85" s="170"/>
      <c r="AD85" s="209"/>
      <c r="AE85" s="194"/>
      <c r="AF85" s="209"/>
      <c r="AG85" s="194"/>
      <c r="AH85" s="209"/>
      <c r="AI85" s="194"/>
      <c r="AJ85" s="232"/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4</v>
      </c>
      <c r="AU85" s="228"/>
      <c r="AV85" s="279">
        <v>4</v>
      </c>
    </row>
    <row r="86" spans="1:48" s="251" customFormat="1" ht="21" customHeight="1">
      <c r="A86" s="20" t="s">
        <v>11</v>
      </c>
      <c r="B86" s="20"/>
      <c r="C86" s="20"/>
      <c r="D86" s="695" t="s">
        <v>34</v>
      </c>
      <c r="E86" s="696"/>
      <c r="F86" s="697"/>
      <c r="G86" s="246"/>
      <c r="H86" s="246"/>
      <c r="I86" s="246"/>
      <c r="J86" s="246"/>
      <c r="K86" s="247">
        <f>SUM(K17:K85)</f>
        <v>28</v>
      </c>
      <c r="L86" s="248"/>
      <c r="M86" s="246"/>
      <c r="N86" s="249">
        <f>SUM(N17:N85)</f>
        <v>2293381.04</v>
      </c>
      <c r="O86" s="248"/>
      <c r="P86" s="249">
        <f>SUM(P17:P85)</f>
        <v>1456893.27</v>
      </c>
      <c r="Q86" s="248"/>
      <c r="R86" s="249">
        <f>SUM(R17:R85)</f>
        <v>1125245.6000000001</v>
      </c>
      <c r="S86" s="248"/>
      <c r="T86" s="249">
        <f>SUM(T17:T85)</f>
        <v>493933.38</v>
      </c>
      <c r="U86" s="291" t="s">
        <v>156</v>
      </c>
      <c r="V86" s="291" t="s">
        <v>156</v>
      </c>
      <c r="W86" s="291" t="s">
        <v>156</v>
      </c>
      <c r="X86" s="250" t="s">
        <v>156</v>
      </c>
      <c r="Y86" s="250" t="s">
        <v>156</v>
      </c>
      <c r="Z86" s="250" t="s">
        <v>156</v>
      </c>
      <c r="AA86" s="250" t="s">
        <v>156</v>
      </c>
      <c r="AB86" s="176">
        <f>SUM(AB17:AB34)</f>
        <v>350</v>
      </c>
      <c r="AC86" s="171">
        <f>SUM(AC17:AC61)</f>
        <v>190344.16</v>
      </c>
      <c r="AD86" s="210">
        <f t="shared" ref="AD86:AQ86" si="15">SUM(AD17:AD85)</f>
        <v>12308</v>
      </c>
      <c r="AE86" s="195">
        <f t="shared" si="15"/>
        <v>1327130.1099999999</v>
      </c>
      <c r="AF86" s="210">
        <f t="shared" si="15"/>
        <v>0</v>
      </c>
      <c r="AG86" s="195">
        <f t="shared" si="15"/>
        <v>0</v>
      </c>
      <c r="AH86" s="210">
        <f t="shared" si="15"/>
        <v>0</v>
      </c>
      <c r="AI86" s="195">
        <f t="shared" si="15"/>
        <v>0</v>
      </c>
      <c r="AJ86" s="210">
        <f t="shared" si="15"/>
        <v>1796</v>
      </c>
      <c r="AK86" s="175">
        <f t="shared" si="15"/>
        <v>1327130.1099999999</v>
      </c>
      <c r="AL86" s="213">
        <f t="shared" si="15"/>
        <v>1317</v>
      </c>
      <c r="AM86" s="214">
        <f t="shared" si="15"/>
        <v>239268.15000000002</v>
      </c>
      <c r="AN86" s="218">
        <f t="shared" si="15"/>
        <v>11341</v>
      </c>
      <c r="AO86" s="219">
        <f t="shared" si="15"/>
        <v>1260482.31</v>
      </c>
      <c r="AP86" s="286">
        <f t="shared" si="15"/>
        <v>0</v>
      </c>
      <c r="AQ86" s="287">
        <f t="shared" si="15"/>
        <v>0</v>
      </c>
      <c r="AR86" s="226" t="s">
        <v>156</v>
      </c>
      <c r="AS86" s="226">
        <f>SUM(AS17:AS85)</f>
        <v>0</v>
      </c>
      <c r="AT86" s="227">
        <f>SUM(AT17:AT85)</f>
        <v>5414</v>
      </c>
      <c r="AU86" s="228">
        <f>SUM(AU17:AU85)</f>
        <v>779473.28999999992</v>
      </c>
      <c r="AV86" s="236">
        <f>SUM(AV17:AV85)</f>
        <v>5414</v>
      </c>
    </row>
    <row r="87" spans="1:48" s="336" customFormat="1" ht="21" customHeight="1">
      <c r="A87" s="20"/>
      <c r="B87" s="20"/>
      <c r="C87" s="20"/>
      <c r="D87" s="294"/>
      <c r="E87" s="294"/>
      <c r="F87" s="294"/>
      <c r="G87" s="330"/>
      <c r="H87" s="330"/>
      <c r="I87" s="330"/>
      <c r="J87" s="330"/>
      <c r="K87" s="331"/>
      <c r="L87" s="332"/>
      <c r="M87" s="330"/>
      <c r="N87" s="333"/>
      <c r="O87" s="332"/>
      <c r="P87" s="333"/>
      <c r="Q87" s="332"/>
      <c r="R87" s="333"/>
      <c r="S87" s="332"/>
      <c r="T87" s="333"/>
      <c r="U87" s="295"/>
      <c r="V87" s="295"/>
      <c r="W87" s="295"/>
      <c r="X87" s="295"/>
      <c r="Y87" s="295"/>
      <c r="Z87" s="295"/>
      <c r="AA87" s="295"/>
      <c r="AB87" s="296"/>
      <c r="AC87" s="297"/>
      <c r="AD87" s="296"/>
      <c r="AE87" s="297"/>
      <c r="AF87" s="296"/>
      <c r="AG87" s="297"/>
      <c r="AH87" s="296"/>
      <c r="AI87" s="297"/>
      <c r="AJ87" s="478"/>
      <c r="AK87" s="299"/>
      <c r="AL87" s="334"/>
      <c r="AM87" s="297"/>
      <c r="AN87" s="296"/>
      <c r="AO87" s="297"/>
      <c r="AP87" s="298"/>
      <c r="AQ87" s="335"/>
      <c r="AR87" s="333"/>
      <c r="AS87" s="333"/>
      <c r="AT87" s="331"/>
      <c r="AU87" s="333"/>
      <c r="AV87" s="331"/>
    </row>
    <row r="88" spans="1:48" s="336" customFormat="1" ht="21" hidden="1" customHeight="1">
      <c r="A88" s="20"/>
      <c r="B88" s="20"/>
      <c r="C88" s="20"/>
      <c r="D88" s="294"/>
      <c r="E88" s="294"/>
      <c r="F88" s="294"/>
      <c r="G88" s="330"/>
      <c r="H88" s="330"/>
      <c r="I88" s="330"/>
      <c r="J88" s="330"/>
      <c r="K88" s="331"/>
      <c r="L88" s="332"/>
      <c r="M88" s="330"/>
      <c r="N88" s="333"/>
      <c r="O88" s="332"/>
      <c r="P88" s="333"/>
      <c r="Q88" s="332"/>
      <c r="R88" s="333"/>
      <c r="S88" s="332"/>
      <c r="T88" s="333"/>
      <c r="U88" s="295"/>
      <c r="V88" s="295"/>
      <c r="W88" s="295"/>
      <c r="X88" s="295"/>
      <c r="Y88" s="295"/>
      <c r="Z88" s="295"/>
      <c r="AA88" s="295"/>
      <c r="AB88" s="296"/>
      <c r="AC88" s="297"/>
      <c r="AD88" s="296"/>
      <c r="AE88" s="297"/>
      <c r="AF88" s="296"/>
      <c r="AG88" s="297"/>
      <c r="AH88" s="296"/>
      <c r="AI88" s="297"/>
      <c r="AJ88" s="478"/>
      <c r="AK88" s="299"/>
      <c r="AL88" s="334"/>
      <c r="AM88" s="297"/>
      <c r="AN88" s="296"/>
      <c r="AO88" s="297"/>
      <c r="AP88" s="298"/>
      <c r="AQ88" s="335"/>
      <c r="AR88" s="333"/>
      <c r="AS88" s="333"/>
      <c r="AT88" s="331"/>
      <c r="AU88" s="333"/>
      <c r="AV88" s="331"/>
    </row>
    <row r="89" spans="1:48" s="292" customFormat="1" ht="20.25" hidden="1">
      <c r="A89" s="301"/>
      <c r="B89" s="301"/>
      <c r="C89" s="301"/>
      <c r="D89" s="302"/>
      <c r="E89" s="301"/>
      <c r="F89" s="303" t="s">
        <v>205</v>
      </c>
      <c r="G89" s="303"/>
      <c r="H89" s="303" t="s">
        <v>208</v>
      </c>
      <c r="I89" s="30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3"/>
      <c r="V89" s="303"/>
      <c r="X89" s="303"/>
      <c r="Y89" s="303"/>
      <c r="Z89" s="303"/>
      <c r="AA89" s="303" t="s">
        <v>208</v>
      </c>
      <c r="AB89" s="303"/>
      <c r="AC89" s="303"/>
      <c r="AD89" s="303"/>
      <c r="AE89" s="303"/>
      <c r="AF89" s="303"/>
      <c r="AG89" s="303"/>
      <c r="AH89" s="303"/>
      <c r="AI89" s="303"/>
      <c r="AJ89" s="479"/>
      <c r="AK89" s="303"/>
      <c r="AL89" s="301"/>
      <c r="AM89" s="303"/>
      <c r="AN89" s="305"/>
      <c r="AO89" s="306"/>
      <c r="AP89" s="307"/>
      <c r="AQ89" s="302"/>
      <c r="AR89" s="308"/>
      <c r="AS89" s="308"/>
      <c r="AT89" s="302"/>
      <c r="AU89" s="302"/>
      <c r="AV89" s="302"/>
    </row>
    <row r="90" spans="1:48" s="292" customFormat="1" ht="20.25" hidden="1">
      <c r="A90" s="301"/>
      <c r="B90" s="301"/>
      <c r="C90" s="301"/>
      <c r="D90" s="302"/>
      <c r="E90" s="301"/>
      <c r="F90" s="303"/>
      <c r="G90" s="303"/>
      <c r="H90" s="303"/>
      <c r="I90" s="30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3"/>
      <c r="V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479"/>
      <c r="AK90" s="303"/>
      <c r="AL90" s="301"/>
      <c r="AM90" s="303"/>
      <c r="AN90" s="305"/>
      <c r="AO90" s="306"/>
      <c r="AP90" s="307"/>
      <c r="AQ90" s="302"/>
      <c r="AR90" s="308"/>
      <c r="AS90" s="308"/>
      <c r="AT90" s="302"/>
      <c r="AU90" s="302"/>
      <c r="AV90" s="302"/>
    </row>
    <row r="91" spans="1:48" s="292" customFormat="1" ht="20.25" hidden="1">
      <c r="A91" s="301"/>
      <c r="B91" s="301"/>
      <c r="C91" s="301"/>
      <c r="D91" s="302"/>
      <c r="E91" s="301"/>
      <c r="F91" s="303"/>
      <c r="G91" s="303"/>
      <c r="H91" s="303"/>
      <c r="I91" s="30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3"/>
      <c r="V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479"/>
      <c r="AK91" s="303"/>
      <c r="AL91" s="301"/>
      <c r="AM91" s="303"/>
      <c r="AN91" s="305"/>
      <c r="AO91" s="306"/>
      <c r="AP91" s="307"/>
      <c r="AQ91" s="302"/>
      <c r="AR91" s="308"/>
      <c r="AS91" s="308"/>
      <c r="AT91" s="302"/>
      <c r="AU91" s="302"/>
      <c r="AV91" s="302"/>
    </row>
    <row r="92" spans="1:48" s="292" customFormat="1" ht="15" hidden="1" customHeight="1">
      <c r="A92" s="309"/>
      <c r="B92" s="309"/>
      <c r="C92" s="309"/>
      <c r="D92" s="302"/>
      <c r="E92" s="309"/>
      <c r="F92" s="310"/>
      <c r="G92" s="310"/>
      <c r="H92" s="308"/>
      <c r="I92" s="308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8"/>
      <c r="V92" s="311"/>
      <c r="AA92" s="311"/>
      <c r="AJ92" s="480"/>
      <c r="AK92" s="312"/>
      <c r="AL92" s="309"/>
      <c r="AM92" s="31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8" s="292" customFormat="1" ht="18" hidden="1" customHeight="1">
      <c r="A93" s="314" t="s">
        <v>12</v>
      </c>
      <c r="B93" s="314"/>
      <c r="C93" s="314"/>
      <c r="D93" s="315"/>
      <c r="E93" s="314"/>
      <c r="F93" s="316" t="s">
        <v>206</v>
      </c>
      <c r="G93" s="316"/>
      <c r="H93" s="736" t="s">
        <v>209</v>
      </c>
      <c r="I93" s="736"/>
      <c r="J93" s="736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8"/>
      <c r="V93" s="319"/>
      <c r="X93" s="303"/>
      <c r="Y93" s="316"/>
      <c r="Z93" s="316"/>
      <c r="AA93" s="320" t="s">
        <v>209</v>
      </c>
      <c r="AB93" s="316"/>
      <c r="AC93" s="316"/>
      <c r="AD93" s="316"/>
      <c r="AE93" s="316"/>
      <c r="AF93" s="316"/>
      <c r="AG93" s="316"/>
      <c r="AH93" s="316"/>
      <c r="AI93" s="316"/>
      <c r="AJ93" s="481"/>
      <c r="AK93" s="316"/>
      <c r="AL93" s="314"/>
      <c r="AM93" s="316"/>
      <c r="AN93" s="314"/>
      <c r="AO93" s="321"/>
      <c r="AP93" s="307"/>
      <c r="AQ93" s="302"/>
      <c r="AR93" s="308"/>
      <c r="AS93" s="308"/>
      <c r="AT93" s="302"/>
      <c r="AU93" s="302"/>
      <c r="AV93" s="302"/>
    </row>
    <row r="94" spans="1:48" s="62" customFormat="1" ht="18.75" hidden="1">
      <c r="A94" s="11"/>
      <c r="B94" s="11"/>
      <c r="C94" s="11"/>
      <c r="D94" s="255"/>
      <c r="E94" s="11"/>
      <c r="F94" s="322"/>
      <c r="G94" s="322"/>
      <c r="H94" s="322"/>
      <c r="I94" s="322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482"/>
      <c r="AK94" s="322"/>
      <c r="AL94" s="324"/>
      <c r="AM94" s="322"/>
      <c r="AN94" s="281"/>
      <c r="AO94" s="325"/>
      <c r="AP94" s="326"/>
      <c r="AQ94" s="490"/>
      <c r="AR94" s="255"/>
      <c r="AS94" s="255"/>
      <c r="AT94" s="490"/>
      <c r="AU94" s="490"/>
      <c r="AV94" s="490"/>
    </row>
    <row r="95" spans="1:48" s="103" customFormat="1" ht="57.75" hidden="1" customHeight="1">
      <c r="A95" s="11"/>
      <c r="B95" s="11"/>
      <c r="C95" s="11"/>
      <c r="D95" s="255"/>
      <c r="E95" s="720" t="s">
        <v>207</v>
      </c>
      <c r="F95" s="720"/>
      <c r="G95" s="327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9"/>
      <c r="W95" s="329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483"/>
      <c r="AK95" s="11"/>
      <c r="AL95" s="281"/>
      <c r="AM95" s="11"/>
      <c r="AN95" s="281"/>
      <c r="AP95" s="326"/>
      <c r="AQ95" s="490"/>
      <c r="AR95" s="255"/>
      <c r="AS95" s="255"/>
      <c r="AT95" s="490"/>
      <c r="AU95" s="490"/>
      <c r="AV95" s="490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86:F86"/>
    <mergeCell ref="H93:J93"/>
    <mergeCell ref="U14:U16"/>
    <mergeCell ref="V14:W15"/>
    <mergeCell ref="O15:P15"/>
    <mergeCell ref="Q15:R15"/>
    <mergeCell ref="S15:T15"/>
    <mergeCell ref="E95:F9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95"/>
  <sheetViews>
    <sheetView view="pageBreakPreview" topLeftCell="C7" zoomScale="70" zoomScaleSheetLayoutView="70" workbookViewId="0">
      <selection activeCell="AV103" sqref="AV103"/>
    </sheetView>
  </sheetViews>
  <sheetFormatPr defaultRowHeight="15.75"/>
  <cols>
    <col min="1" max="2" width="0" hidden="1" customWidth="1"/>
    <col min="3" max="3" width="3.5703125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496"/>
      <c r="AR1" s="255"/>
      <c r="AS1" s="255"/>
      <c r="AT1" s="496"/>
      <c r="AU1" s="496"/>
      <c r="AV1" s="496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496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496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274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496"/>
      <c r="AR12" s="255"/>
      <c r="AS12" s="255"/>
      <c r="AT12" s="497"/>
      <c r="AU12" s="497"/>
      <c r="AV12" s="497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276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497"/>
      <c r="D16" s="748"/>
      <c r="E16" s="685"/>
      <c r="F16" s="685"/>
      <c r="G16" s="202"/>
      <c r="H16" s="201"/>
      <c r="I16" s="201"/>
      <c r="J16" s="241"/>
      <c r="K16" s="241"/>
      <c r="L16" s="241"/>
      <c r="M16" s="495" t="s">
        <v>77</v>
      </c>
      <c r="N16" s="495" t="s">
        <v>78</v>
      </c>
      <c r="O16" s="495" t="s">
        <v>77</v>
      </c>
      <c r="P16" s="495" t="s">
        <v>78</v>
      </c>
      <c r="Q16" s="495" t="s">
        <v>77</v>
      </c>
      <c r="R16" s="495" t="s">
        <v>78</v>
      </c>
      <c r="S16" s="495" t="s">
        <v>77</v>
      </c>
      <c r="T16" s="495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94" t="s">
        <v>77</v>
      </c>
      <c r="AE16" s="494" t="s">
        <v>78</v>
      </c>
      <c r="AF16" s="205" t="s">
        <v>77</v>
      </c>
      <c r="AG16" s="205" t="s">
        <v>78</v>
      </c>
      <c r="AH16" s="494" t="s">
        <v>77</v>
      </c>
      <c r="AI16" s="494" t="s">
        <v>78</v>
      </c>
      <c r="AJ16" s="207" t="s">
        <v>96</v>
      </c>
      <c r="AK16" s="96" t="s">
        <v>19</v>
      </c>
      <c r="AL16" s="492" t="s">
        <v>96</v>
      </c>
      <c r="AM16" s="492" t="s">
        <v>19</v>
      </c>
      <c r="AN16" s="216" t="s">
        <v>96</v>
      </c>
      <c r="AO16" s="216" t="s">
        <v>19</v>
      </c>
      <c r="AP16" s="207" t="s">
        <v>96</v>
      </c>
      <c r="AQ16" s="492" t="s">
        <v>96</v>
      </c>
      <c r="AR16" s="492" t="s">
        <v>107</v>
      </c>
      <c r="AS16" s="492" t="s">
        <v>19</v>
      </c>
      <c r="AT16" s="493" t="s">
        <v>96</v>
      </c>
      <c r="AU16" s="493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0" si="0">J18*K18</f>
        <v>0</v>
      </c>
      <c r="N18" s="243">
        <f t="shared" ref="N18:N79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5" si="2">AC18+AK18-AM18</f>
        <v>1026.1600000000001</v>
      </c>
      <c r="AP18" s="232"/>
      <c r="AQ18" s="229"/>
      <c r="AR18" s="212">
        <v>1026.1600000000001</v>
      </c>
      <c r="AS18" s="212">
        <f t="shared" ref="AS18:AS81" si="3">AQ18*AR18</f>
        <v>0</v>
      </c>
      <c r="AT18" s="227">
        <v>1</v>
      </c>
      <c r="AU18" s="228">
        <f t="shared" ref="AU18:AU81" si="4">AT18*AR18</f>
        <v>1026.1600000000001</v>
      </c>
      <c r="AV18" s="279">
        <f t="shared" ref="AV18:AV81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2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6.25" customHeight="1">
      <c r="A20" s="59"/>
      <c r="B20" s="60"/>
      <c r="C20" s="60"/>
      <c r="D20" s="2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27">
        <v>2</v>
      </c>
      <c r="AU20" s="228">
        <f>AT20*AR20</f>
        <v>4040.8</v>
      </c>
      <c r="AV20" s="279">
        <f>AT20</f>
        <v>2</v>
      </c>
    </row>
    <row r="21" spans="1:48" s="62" customFormat="1" ht="29.25" customHeight="1">
      <c r="A21" s="59"/>
      <c r="B21" s="60"/>
      <c r="C21" s="60"/>
      <c r="D21" s="2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27">
        <v>4</v>
      </c>
      <c r="AU21" s="228">
        <f>AT21*AR21</f>
        <v>8081.6</v>
      </c>
      <c r="AV21" s="279">
        <f>AT21</f>
        <v>4</v>
      </c>
    </row>
    <row r="22" spans="1:48" s="62" customFormat="1" ht="24.75" customHeight="1">
      <c r="A22" s="59"/>
      <c r="B22" s="60"/>
      <c r="C22" s="60"/>
      <c r="D22" s="2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27">
        <v>1</v>
      </c>
      <c r="AU22" s="228">
        <f t="shared" si="4"/>
        <v>2094.4</v>
      </c>
      <c r="AV22" s="279">
        <f t="shared" si="5"/>
        <v>1</v>
      </c>
    </row>
    <row r="23" spans="1:48" s="89" customFormat="1" ht="33.75">
      <c r="A23" s="80"/>
      <c r="B23" s="81"/>
      <c r="C23" s="60"/>
      <c r="D23" s="2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27">
        <v>1</v>
      </c>
      <c r="AU23" s="228">
        <f t="shared" si="4"/>
        <v>2094.4</v>
      </c>
      <c r="AV23" s="279">
        <f t="shared" si="5"/>
        <v>1</v>
      </c>
    </row>
    <row r="24" spans="1:48" s="62" customFormat="1" ht="24" customHeight="1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</f>
        <v>3</v>
      </c>
      <c r="AU24" s="228">
        <f t="shared" si="4"/>
        <v>2360.6999999999998</v>
      </c>
      <c r="AV24" s="279">
        <f t="shared" si="5"/>
        <v>3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8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8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8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</f>
        <v>35</v>
      </c>
      <c r="AU29" s="228">
        <f t="shared" si="4"/>
        <v>18732.7</v>
      </c>
      <c r="AV29" s="279">
        <f t="shared" si="5"/>
        <v>35</v>
      </c>
    </row>
    <row r="30" spans="1:48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15</v>
      </c>
      <c r="AU30" s="228"/>
      <c r="AV30" s="279">
        <v>15</v>
      </c>
    </row>
    <row r="31" spans="1:48" s="62" customFormat="1" ht="24" customHeight="1">
      <c r="A31" s="59"/>
      <c r="B31" s="60"/>
      <c r="C31" s="60"/>
      <c r="D31" s="22"/>
      <c r="E31" s="79"/>
      <c r="F31" s="51" t="s">
        <v>43</v>
      </c>
      <c r="G31" s="275" t="s">
        <v>163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243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/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>10-10</f>
        <v>0</v>
      </c>
      <c r="AU31" s="386"/>
      <c r="AV31" s="233">
        <f t="shared" si="5"/>
        <v>0</v>
      </c>
    </row>
    <row r="32" spans="1:48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8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8" s="62" customFormat="1" ht="24" customHeight="1">
      <c r="A34" s="59"/>
      <c r="B34" s="60"/>
      <c r="C34" s="60"/>
      <c r="D34" s="22"/>
      <c r="E34" s="79" t="s">
        <v>24</v>
      </c>
      <c r="F34" s="485" t="s">
        <v>269</v>
      </c>
      <c r="G34" s="222" t="s">
        <v>152</v>
      </c>
      <c r="H34" s="115" t="s">
        <v>91</v>
      </c>
      <c r="I34" s="115" t="s">
        <v>91</v>
      </c>
      <c r="J34" s="115"/>
      <c r="K34" s="115"/>
      <c r="L34" s="276"/>
      <c r="M34" s="277">
        <f>J34*K34</f>
        <v>0</v>
      </c>
      <c r="N34" s="276">
        <f>L34*M34</f>
        <v>0</v>
      </c>
      <c r="O34" s="115"/>
      <c r="P34" s="276"/>
      <c r="Q34" s="115"/>
      <c r="R34" s="276"/>
      <c r="S34" s="115"/>
      <c r="T34" s="276"/>
      <c r="U34" s="203" t="s">
        <v>265</v>
      </c>
      <c r="V34" s="115">
        <v>1405</v>
      </c>
      <c r="W34" s="114">
        <v>43052</v>
      </c>
      <c r="X34" s="115"/>
      <c r="Y34" s="115"/>
      <c r="Z34" s="115"/>
      <c r="AA34" s="115"/>
      <c r="AB34" s="35">
        <v>120</v>
      </c>
      <c r="AC34" s="170">
        <v>58734</v>
      </c>
      <c r="AD34" s="208"/>
      <c r="AE34" s="170"/>
      <c r="AF34" s="208"/>
      <c r="AG34" s="170"/>
      <c r="AH34" s="208"/>
      <c r="AI34" s="170"/>
      <c r="AJ34" s="232">
        <v>140</v>
      </c>
      <c r="AK34" s="170">
        <f>AE34+AG34+AI34</f>
        <v>0</v>
      </c>
      <c r="AL34" s="270">
        <f>15+30+10+25+20+20</f>
        <v>120</v>
      </c>
      <c r="AM34" s="170">
        <f>7341.75+14683.5+4894.5+12236.25+9789</f>
        <v>48945</v>
      </c>
      <c r="AN34" s="270">
        <v>0</v>
      </c>
      <c r="AO34" s="170">
        <f>AC34+AK34-AM34</f>
        <v>9789</v>
      </c>
      <c r="AP34" s="233"/>
      <c r="AQ34" s="233"/>
      <c r="AR34" s="170">
        <v>489.45</v>
      </c>
      <c r="AS34" s="170">
        <f>AQ34*AR34</f>
        <v>0</v>
      </c>
      <c r="AT34" s="227">
        <v>140</v>
      </c>
      <c r="AU34" s="386">
        <f>AT34*AR34</f>
        <v>68523</v>
      </c>
      <c r="AV34" s="279">
        <f>AT34</f>
        <v>140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44</v>
      </c>
      <c r="G35" s="275" t="s">
        <v>116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186</v>
      </c>
      <c r="V35" s="115">
        <v>1418</v>
      </c>
      <c r="W35" s="114">
        <v>43312</v>
      </c>
      <c r="X35" s="115" t="s">
        <v>184</v>
      </c>
      <c r="Y35" s="221">
        <v>43332</v>
      </c>
      <c r="Z35" s="115" t="s">
        <v>185</v>
      </c>
      <c r="AA35" s="221">
        <v>43320</v>
      </c>
      <c r="AB35" s="22">
        <v>0</v>
      </c>
      <c r="AC35" s="170">
        <v>0</v>
      </c>
      <c r="AD35" s="208">
        <v>55</v>
      </c>
      <c r="AE35" s="170">
        <v>10780</v>
      </c>
      <c r="AF35" s="208"/>
      <c r="AG35" s="170"/>
      <c r="AH35" s="208"/>
      <c r="AI35" s="170"/>
      <c r="AJ35" s="233"/>
      <c r="AK35" s="170">
        <f t="shared" si="6"/>
        <v>10780</v>
      </c>
      <c r="AL35" s="270">
        <v>0</v>
      </c>
      <c r="AM35" s="170">
        <v>0</v>
      </c>
      <c r="AN35" s="270">
        <v>55</v>
      </c>
      <c r="AO35" s="170">
        <v>0</v>
      </c>
      <c r="AP35" s="233"/>
      <c r="AQ35" s="233"/>
      <c r="AR35" s="170">
        <v>196</v>
      </c>
      <c r="AS35" s="170">
        <f t="shared" si="3"/>
        <v>0</v>
      </c>
      <c r="AT35" s="233">
        <f>55-15-40</f>
        <v>0</v>
      </c>
      <c r="AU35" s="386">
        <f t="shared" si="4"/>
        <v>0</v>
      </c>
      <c r="AV35" s="233">
        <f t="shared" si="5"/>
        <v>0</v>
      </c>
    </row>
    <row r="36" spans="1:48" s="62" customFormat="1" ht="26.25" customHeight="1">
      <c r="A36" s="59"/>
      <c r="B36" s="60"/>
      <c r="C36" s="60"/>
      <c r="D36" s="22"/>
      <c r="E36" s="79"/>
      <c r="F36" s="149" t="s">
        <v>44</v>
      </c>
      <c r="G36" s="222" t="s">
        <v>116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/>
      <c r="V36" s="115"/>
      <c r="W36" s="114"/>
      <c r="X36" s="193"/>
      <c r="Y36" s="200"/>
      <c r="Z36" s="193"/>
      <c r="AA36" s="200"/>
      <c r="AB36" s="22"/>
      <c r="AC36" s="170"/>
      <c r="AD36" s="209"/>
      <c r="AE36" s="194"/>
      <c r="AF36" s="209"/>
      <c r="AG36" s="194"/>
      <c r="AH36" s="209"/>
      <c r="AI36" s="194"/>
      <c r="AJ36" s="232"/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15</v>
      </c>
      <c r="AU36" s="228"/>
      <c r="AV36" s="279">
        <v>15</v>
      </c>
    </row>
    <row r="37" spans="1:48" s="62" customFormat="1" ht="27" hidden="1" customHeight="1">
      <c r="A37" s="59"/>
      <c r="B37" s="60"/>
      <c r="C37" s="60"/>
      <c r="D37" s="22"/>
      <c r="E37" s="79" t="s">
        <v>24</v>
      </c>
      <c r="F37" s="51" t="s">
        <v>52</v>
      </c>
      <c r="G37" s="275" t="s">
        <v>111</v>
      </c>
      <c r="H37" s="115" t="s">
        <v>91</v>
      </c>
      <c r="I37" s="115" t="s">
        <v>91</v>
      </c>
      <c r="J37" s="115"/>
      <c r="K37" s="115"/>
      <c r="L37" s="276"/>
      <c r="M37" s="277">
        <f t="shared" si="0"/>
        <v>0</v>
      </c>
      <c r="N37" s="276">
        <f t="shared" si="1"/>
        <v>0</v>
      </c>
      <c r="O37" s="115"/>
      <c r="P37" s="276"/>
      <c r="Q37" s="115"/>
      <c r="R37" s="276"/>
      <c r="S37" s="115"/>
      <c r="T37" s="276"/>
      <c r="U37" s="278" t="s">
        <v>112</v>
      </c>
      <c r="V37" s="115">
        <v>1625</v>
      </c>
      <c r="W37" s="114">
        <v>43087</v>
      </c>
      <c r="X37" s="115" t="s">
        <v>109</v>
      </c>
      <c r="Y37" s="221">
        <v>43109</v>
      </c>
      <c r="Z37" s="115" t="s">
        <v>110</v>
      </c>
      <c r="AA37" s="221">
        <v>43111</v>
      </c>
      <c r="AB37" s="22">
        <v>0</v>
      </c>
      <c r="AC37" s="170">
        <v>0</v>
      </c>
      <c r="AD37" s="208">
        <v>5</v>
      </c>
      <c r="AE37" s="170">
        <v>1010.9</v>
      </c>
      <c r="AF37" s="208"/>
      <c r="AG37" s="170"/>
      <c r="AH37" s="208"/>
      <c r="AI37" s="170"/>
      <c r="AJ37" s="232"/>
      <c r="AK37" s="170">
        <f t="shared" si="6"/>
        <v>1010.9</v>
      </c>
      <c r="AL37" s="270">
        <v>5</v>
      </c>
      <c r="AM37" s="170">
        <v>1010.9</v>
      </c>
      <c r="AN37" s="270">
        <v>0</v>
      </c>
      <c r="AO37" s="170">
        <f t="shared" si="2"/>
        <v>0</v>
      </c>
      <c r="AP37" s="233"/>
      <c r="AQ37" s="233"/>
      <c r="AR37" s="170"/>
      <c r="AS37" s="170">
        <f t="shared" si="3"/>
        <v>0</v>
      </c>
      <c r="AT37" s="208">
        <v>0</v>
      </c>
      <c r="AU37" s="170">
        <f t="shared" si="4"/>
        <v>0</v>
      </c>
      <c r="AV37" s="233">
        <f t="shared" si="5"/>
        <v>0</v>
      </c>
    </row>
    <row r="38" spans="1:48" s="62" customFormat="1" ht="27" hidden="1" customHeight="1">
      <c r="A38" s="59"/>
      <c r="B38" s="60"/>
      <c r="C38" s="60"/>
      <c r="D38" s="22"/>
      <c r="E38" s="79" t="s">
        <v>24</v>
      </c>
      <c r="F38" s="51" t="s">
        <v>52</v>
      </c>
      <c r="G38" s="275" t="s">
        <v>111</v>
      </c>
      <c r="H38" s="115" t="s">
        <v>91</v>
      </c>
      <c r="I38" s="115" t="s">
        <v>91</v>
      </c>
      <c r="J38" s="115">
        <v>2016</v>
      </c>
      <c r="K38" s="115">
        <v>2</v>
      </c>
      <c r="L38" s="276">
        <v>199.06</v>
      </c>
      <c r="M38" s="277">
        <f t="shared" si="0"/>
        <v>4032</v>
      </c>
      <c r="N38" s="276">
        <f t="shared" si="1"/>
        <v>802609.92</v>
      </c>
      <c r="O38" s="115">
        <v>4130</v>
      </c>
      <c r="P38" s="276">
        <v>1054554.2</v>
      </c>
      <c r="Q38" s="115"/>
      <c r="R38" s="276"/>
      <c r="S38" s="115"/>
      <c r="T38" s="276"/>
      <c r="U38" s="278" t="s">
        <v>112</v>
      </c>
      <c r="V38" s="115">
        <v>1583</v>
      </c>
      <c r="W38" s="114">
        <v>43082</v>
      </c>
      <c r="X38" s="115" t="s">
        <v>113</v>
      </c>
      <c r="Y38" s="221">
        <v>43109</v>
      </c>
      <c r="Z38" s="115" t="s">
        <v>110</v>
      </c>
      <c r="AA38" s="221">
        <v>43111</v>
      </c>
      <c r="AB38" s="22">
        <v>0</v>
      </c>
      <c r="AC38" s="170">
        <v>0</v>
      </c>
      <c r="AD38" s="208">
        <v>490</v>
      </c>
      <c r="AE38" s="170">
        <v>99068.2</v>
      </c>
      <c r="AF38" s="208"/>
      <c r="AG38" s="170"/>
      <c r="AH38" s="208"/>
      <c r="AI38" s="170"/>
      <c r="AJ38" s="232"/>
      <c r="AK38" s="170">
        <f t="shared" si="6"/>
        <v>99068.2</v>
      </c>
      <c r="AL38" s="270">
        <f>135+130+130</f>
        <v>395</v>
      </c>
      <c r="AM38" s="170">
        <f>AL38*AR38</f>
        <v>79861.100000000006</v>
      </c>
      <c r="AN38" s="270">
        <v>95</v>
      </c>
      <c r="AO38" s="170">
        <f t="shared" si="2"/>
        <v>19207.099999999991</v>
      </c>
      <c r="AP38" s="233"/>
      <c r="AQ38" s="233"/>
      <c r="AR38" s="170">
        <v>202.18</v>
      </c>
      <c r="AS38" s="170">
        <f t="shared" si="3"/>
        <v>0</v>
      </c>
      <c r="AT38" s="233">
        <v>0</v>
      </c>
      <c r="AU38" s="386">
        <f t="shared" si="4"/>
        <v>0</v>
      </c>
      <c r="AV38" s="233">
        <f t="shared" si="5"/>
        <v>0</v>
      </c>
    </row>
    <row r="39" spans="1:48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1745</v>
      </c>
      <c r="W39" s="114">
        <v>43096</v>
      </c>
      <c r="X39" s="115" t="s">
        <v>117</v>
      </c>
      <c r="Y39" s="221">
        <v>43109</v>
      </c>
      <c r="Z39" s="115" t="s">
        <v>118</v>
      </c>
      <c r="AA39" s="221">
        <v>43133</v>
      </c>
      <c r="AB39" s="22">
        <v>0</v>
      </c>
      <c r="AC39" s="170">
        <v>0</v>
      </c>
      <c r="AD39" s="208">
        <v>195</v>
      </c>
      <c r="AE39" s="170">
        <v>39425.1</v>
      </c>
      <c r="AF39" s="208"/>
      <c r="AG39" s="170"/>
      <c r="AH39" s="208"/>
      <c r="AI39" s="170"/>
      <c r="AJ39" s="232"/>
      <c r="AK39" s="170">
        <f t="shared" si="6"/>
        <v>39425.1</v>
      </c>
      <c r="AL39" s="270">
        <v>0</v>
      </c>
      <c r="AM39" s="170">
        <v>0</v>
      </c>
      <c r="AN39" s="270">
        <v>195</v>
      </c>
      <c r="AO39" s="170">
        <f t="shared" si="2"/>
        <v>39425.1</v>
      </c>
      <c r="AP39" s="233"/>
      <c r="AQ39" s="233"/>
      <c r="AR39" s="170">
        <v>202.18</v>
      </c>
      <c r="AS39" s="170">
        <f t="shared" si="3"/>
        <v>0</v>
      </c>
      <c r="AT39" s="233">
        <f>160-140-20</f>
        <v>0</v>
      </c>
      <c r="AU39" s="386">
        <f t="shared" si="4"/>
        <v>0</v>
      </c>
      <c r="AV39" s="233">
        <f t="shared" si="5"/>
        <v>0</v>
      </c>
    </row>
    <row r="40" spans="1:48" s="62" customFormat="1" ht="26.25" customHeight="1">
      <c r="A40" s="59"/>
      <c r="B40" s="60"/>
      <c r="C40" s="60"/>
      <c r="D40" s="22"/>
      <c r="E40" s="79" t="s">
        <v>24</v>
      </c>
      <c r="F40" s="51" t="s">
        <v>65</v>
      </c>
      <c r="G40" s="275" t="s">
        <v>111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133</v>
      </c>
      <c r="V40" s="115">
        <v>426</v>
      </c>
      <c r="W40" s="114">
        <v>43164</v>
      </c>
      <c r="X40" s="115" t="s">
        <v>141</v>
      </c>
      <c r="Y40" s="221">
        <v>43164</v>
      </c>
      <c r="Z40" s="115" t="s">
        <v>142</v>
      </c>
      <c r="AA40" s="221">
        <v>43230</v>
      </c>
      <c r="AB40" s="22">
        <v>0</v>
      </c>
      <c r="AC40" s="170">
        <v>0</v>
      </c>
      <c r="AD40" s="208">
        <v>170</v>
      </c>
      <c r="AE40" s="170">
        <v>34370.6</v>
      </c>
      <c r="AF40" s="208"/>
      <c r="AG40" s="170"/>
      <c r="AH40" s="208"/>
      <c r="AI40" s="170"/>
      <c r="AJ40" s="233"/>
      <c r="AK40" s="170">
        <f t="shared" si="6"/>
        <v>34370.6</v>
      </c>
      <c r="AL40" s="270">
        <v>0</v>
      </c>
      <c r="AM40" s="170">
        <v>0</v>
      </c>
      <c r="AN40" s="270">
        <v>170</v>
      </c>
      <c r="AO40" s="170">
        <f t="shared" si="2"/>
        <v>34370.6</v>
      </c>
      <c r="AP40" s="233"/>
      <c r="AQ40" s="233"/>
      <c r="AR40" s="170">
        <v>202.18</v>
      </c>
      <c r="AS40" s="170">
        <f t="shared" si="3"/>
        <v>0</v>
      </c>
      <c r="AT40" s="233">
        <f>60-60</f>
        <v>0</v>
      </c>
      <c r="AU40" s="386">
        <f t="shared" si="4"/>
        <v>0</v>
      </c>
      <c r="AV40" s="233">
        <f t="shared" si="5"/>
        <v>0</v>
      </c>
    </row>
    <row r="41" spans="1:48" s="62" customFormat="1" ht="26.25" customHeight="1">
      <c r="A41" s="59"/>
      <c r="B41" s="60"/>
      <c r="C41" s="60"/>
      <c r="D41" s="22"/>
      <c r="E41" s="79" t="s">
        <v>24</v>
      </c>
      <c r="F41" s="53" t="s">
        <v>65</v>
      </c>
      <c r="G41" s="222" t="s">
        <v>111</v>
      </c>
      <c r="H41" s="193" t="s">
        <v>91</v>
      </c>
      <c r="I41" s="193" t="s">
        <v>91</v>
      </c>
      <c r="J41" s="193"/>
      <c r="K41" s="193"/>
      <c r="L41" s="243"/>
      <c r="M41" s="242">
        <f t="shared" si="0"/>
        <v>0</v>
      </c>
      <c r="N41" s="243">
        <f t="shared" si="1"/>
        <v>0</v>
      </c>
      <c r="O41" s="193"/>
      <c r="P41" s="243"/>
      <c r="Q41" s="193"/>
      <c r="R41" s="243"/>
      <c r="S41" s="193"/>
      <c r="T41" s="243"/>
      <c r="U41" s="203" t="s">
        <v>133</v>
      </c>
      <c r="V41" s="115">
        <v>234</v>
      </c>
      <c r="W41" s="114">
        <v>43143</v>
      </c>
      <c r="X41" s="193" t="s">
        <v>143</v>
      </c>
      <c r="Y41" s="200">
        <v>43164</v>
      </c>
      <c r="Z41" s="193"/>
      <c r="AA41" s="193"/>
      <c r="AB41" s="22">
        <v>0</v>
      </c>
      <c r="AC41" s="170">
        <v>0</v>
      </c>
      <c r="AD41" s="209">
        <v>320</v>
      </c>
      <c r="AE41" s="194">
        <v>64697.599999999999</v>
      </c>
      <c r="AF41" s="209"/>
      <c r="AG41" s="194"/>
      <c r="AH41" s="209"/>
      <c r="AI41" s="194"/>
      <c r="AJ41" s="232"/>
      <c r="AK41" s="170">
        <f t="shared" si="6"/>
        <v>64697.599999999999</v>
      </c>
      <c r="AL41" s="272">
        <v>0</v>
      </c>
      <c r="AM41" s="212">
        <v>0</v>
      </c>
      <c r="AN41" s="269">
        <v>320</v>
      </c>
      <c r="AO41" s="217">
        <f t="shared" si="2"/>
        <v>64697.599999999999</v>
      </c>
      <c r="AP41" s="232"/>
      <c r="AQ41" s="229"/>
      <c r="AR41" s="212">
        <v>202.18</v>
      </c>
      <c r="AS41" s="212">
        <f t="shared" si="3"/>
        <v>0</v>
      </c>
      <c r="AT41" s="227">
        <f>320-230</f>
        <v>90</v>
      </c>
      <c r="AU41" s="228">
        <f t="shared" si="4"/>
        <v>18196.2</v>
      </c>
      <c r="AV41" s="279">
        <f t="shared" si="5"/>
        <v>90</v>
      </c>
    </row>
    <row r="42" spans="1:48" s="62" customFormat="1" ht="26.25" customHeight="1">
      <c r="A42" s="59"/>
      <c r="B42" s="60"/>
      <c r="C42" s="60"/>
      <c r="D42" s="22"/>
      <c r="E42" s="79" t="s">
        <v>24</v>
      </c>
      <c r="F42" s="53" t="s">
        <v>65</v>
      </c>
      <c r="G42" s="222" t="s">
        <v>111</v>
      </c>
      <c r="H42" s="193" t="s">
        <v>91</v>
      </c>
      <c r="I42" s="193" t="s">
        <v>91</v>
      </c>
      <c r="J42" s="193"/>
      <c r="K42" s="193"/>
      <c r="L42" s="243"/>
      <c r="M42" s="242">
        <f t="shared" si="0"/>
        <v>0</v>
      </c>
      <c r="N42" s="243">
        <f t="shared" si="1"/>
        <v>0</v>
      </c>
      <c r="O42" s="193"/>
      <c r="P42" s="243"/>
      <c r="Q42" s="193"/>
      <c r="R42" s="243"/>
      <c r="S42" s="193"/>
      <c r="T42" s="243"/>
      <c r="U42" s="203" t="s">
        <v>132</v>
      </c>
      <c r="V42" s="115">
        <v>234</v>
      </c>
      <c r="W42" s="114">
        <v>43143</v>
      </c>
      <c r="X42" s="193" t="s">
        <v>143</v>
      </c>
      <c r="Y42" s="200">
        <v>43164</v>
      </c>
      <c r="Z42" s="193"/>
      <c r="AA42" s="193"/>
      <c r="AB42" s="22">
        <v>0</v>
      </c>
      <c r="AC42" s="170">
        <v>0</v>
      </c>
      <c r="AD42" s="209">
        <v>15</v>
      </c>
      <c r="AE42" s="194">
        <v>3032.7</v>
      </c>
      <c r="AF42" s="209"/>
      <c r="AG42" s="194"/>
      <c r="AH42" s="209"/>
      <c r="AI42" s="194"/>
      <c r="AJ42" s="232"/>
      <c r="AK42" s="170">
        <f t="shared" si="6"/>
        <v>3032.7</v>
      </c>
      <c r="AL42" s="272">
        <v>0</v>
      </c>
      <c r="AM42" s="212">
        <v>0</v>
      </c>
      <c r="AN42" s="269">
        <v>15</v>
      </c>
      <c r="AO42" s="217">
        <f t="shared" si="2"/>
        <v>3032.7</v>
      </c>
      <c r="AP42" s="232"/>
      <c r="AQ42" s="229"/>
      <c r="AR42" s="212">
        <v>202.18</v>
      </c>
      <c r="AS42" s="212">
        <f t="shared" si="3"/>
        <v>0</v>
      </c>
      <c r="AT42" s="227">
        <v>15</v>
      </c>
      <c r="AU42" s="228">
        <f t="shared" si="4"/>
        <v>3032.7000000000003</v>
      </c>
      <c r="AV42" s="279">
        <f t="shared" si="5"/>
        <v>15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356</v>
      </c>
      <c r="W43" s="114">
        <v>43159</v>
      </c>
      <c r="X43" s="193" t="s">
        <v>136</v>
      </c>
      <c r="Y43" s="200">
        <v>43164</v>
      </c>
      <c r="Z43" s="193"/>
      <c r="AA43" s="193"/>
      <c r="AB43" s="22">
        <v>0</v>
      </c>
      <c r="AC43" s="170">
        <v>0</v>
      </c>
      <c r="AD43" s="209">
        <v>170</v>
      </c>
      <c r="AE43" s="194">
        <v>34370.6</v>
      </c>
      <c r="AF43" s="209"/>
      <c r="AG43" s="194"/>
      <c r="AH43" s="209"/>
      <c r="AI43" s="194"/>
      <c r="AJ43" s="232"/>
      <c r="AK43" s="170">
        <f t="shared" si="6"/>
        <v>34370.6</v>
      </c>
      <c r="AL43" s="272">
        <v>0</v>
      </c>
      <c r="AM43" s="212">
        <v>0</v>
      </c>
      <c r="AN43" s="269">
        <v>170</v>
      </c>
      <c r="AO43" s="217">
        <f t="shared" si="2"/>
        <v>34370.6</v>
      </c>
      <c r="AP43" s="232"/>
      <c r="AQ43" s="229"/>
      <c r="AR43" s="212">
        <v>202.18</v>
      </c>
      <c r="AS43" s="212">
        <f t="shared" si="3"/>
        <v>0</v>
      </c>
      <c r="AT43" s="227">
        <v>170</v>
      </c>
      <c r="AU43" s="228">
        <f t="shared" si="4"/>
        <v>34370.6</v>
      </c>
      <c r="AV43" s="279">
        <f t="shared" si="5"/>
        <v>170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133</v>
      </c>
      <c r="V44" s="115">
        <v>260</v>
      </c>
      <c r="W44" s="114">
        <v>43145</v>
      </c>
      <c r="X44" s="193" t="s">
        <v>94</v>
      </c>
      <c r="Y44" s="200">
        <v>43164</v>
      </c>
      <c r="Z44" s="193"/>
      <c r="AA44" s="193"/>
      <c r="AB44" s="22">
        <v>0</v>
      </c>
      <c r="AC44" s="170">
        <v>0</v>
      </c>
      <c r="AD44" s="209">
        <v>665</v>
      </c>
      <c r="AE44" s="194">
        <v>134449.70000000001</v>
      </c>
      <c r="AF44" s="209"/>
      <c r="AG44" s="194"/>
      <c r="AH44" s="209"/>
      <c r="AI44" s="194"/>
      <c r="AJ44" s="232"/>
      <c r="AK44" s="170">
        <f t="shared" si="6"/>
        <v>134449.70000000001</v>
      </c>
      <c r="AL44" s="272">
        <v>0</v>
      </c>
      <c r="AM44" s="212">
        <v>0</v>
      </c>
      <c r="AN44" s="269">
        <v>665</v>
      </c>
      <c r="AO44" s="217">
        <f t="shared" si="2"/>
        <v>134449.70000000001</v>
      </c>
      <c r="AP44" s="232"/>
      <c r="AQ44" s="229"/>
      <c r="AR44" s="212">
        <v>202.18</v>
      </c>
      <c r="AS44" s="212">
        <f t="shared" si="3"/>
        <v>0</v>
      </c>
      <c r="AT44" s="227">
        <v>665</v>
      </c>
      <c r="AU44" s="228">
        <f t="shared" si="4"/>
        <v>134449.70000000001</v>
      </c>
      <c r="AV44" s="279">
        <f t="shared" si="5"/>
        <v>665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124</v>
      </c>
      <c r="V45" s="115">
        <v>68</v>
      </c>
      <c r="W45" s="114">
        <v>43116</v>
      </c>
      <c r="X45" s="193" t="s">
        <v>125</v>
      </c>
      <c r="Y45" s="200">
        <v>43130</v>
      </c>
      <c r="Z45" s="193"/>
      <c r="AA45" s="193"/>
      <c r="AB45" s="22">
        <v>0</v>
      </c>
      <c r="AC45" s="170">
        <v>0</v>
      </c>
      <c r="AD45" s="209">
        <v>335</v>
      </c>
      <c r="AE45" s="194">
        <v>67730.3</v>
      </c>
      <c r="AF45" s="209"/>
      <c r="AG45" s="194"/>
      <c r="AH45" s="209"/>
      <c r="AI45" s="194"/>
      <c r="AJ45" s="232"/>
      <c r="AK45" s="170">
        <f t="shared" si="6"/>
        <v>67730.3</v>
      </c>
      <c r="AL45" s="272">
        <v>0</v>
      </c>
      <c r="AM45" s="212">
        <v>0</v>
      </c>
      <c r="AN45" s="269">
        <v>335</v>
      </c>
      <c r="AO45" s="217">
        <f t="shared" si="2"/>
        <v>67730.3</v>
      </c>
      <c r="AP45" s="232"/>
      <c r="AQ45" s="229"/>
      <c r="AR45" s="212">
        <v>202.18</v>
      </c>
      <c r="AS45" s="212">
        <f t="shared" si="3"/>
        <v>0</v>
      </c>
      <c r="AT45" s="227">
        <v>155</v>
      </c>
      <c r="AU45" s="228">
        <f t="shared" si="4"/>
        <v>31337.9</v>
      </c>
      <c r="AV45" s="279">
        <f t="shared" si="5"/>
        <v>155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124</v>
      </c>
      <c r="V46" s="115">
        <v>135</v>
      </c>
      <c r="W46" s="114">
        <v>42761</v>
      </c>
      <c r="X46" s="193" t="s">
        <v>126</v>
      </c>
      <c r="Y46" s="200">
        <v>43130</v>
      </c>
      <c r="Z46" s="193"/>
      <c r="AA46" s="193"/>
      <c r="AB46" s="22">
        <v>0</v>
      </c>
      <c r="AC46" s="170">
        <v>0</v>
      </c>
      <c r="AD46" s="209">
        <v>155</v>
      </c>
      <c r="AE46" s="194">
        <v>31337.9</v>
      </c>
      <c r="AF46" s="209"/>
      <c r="AG46" s="194"/>
      <c r="AH46" s="209"/>
      <c r="AI46" s="194"/>
      <c r="AJ46" s="232"/>
      <c r="AK46" s="170">
        <f t="shared" si="6"/>
        <v>31337.9</v>
      </c>
      <c r="AL46" s="272">
        <v>0</v>
      </c>
      <c r="AM46" s="212">
        <v>0</v>
      </c>
      <c r="AN46" s="269">
        <v>155</v>
      </c>
      <c r="AO46" s="217">
        <f t="shared" si="2"/>
        <v>31337.9</v>
      </c>
      <c r="AP46" s="232"/>
      <c r="AQ46" s="229"/>
      <c r="AR46" s="212">
        <v>202.18</v>
      </c>
      <c r="AS46" s="212">
        <f t="shared" si="3"/>
        <v>0</v>
      </c>
      <c r="AT46" s="227">
        <v>155</v>
      </c>
      <c r="AU46" s="228">
        <f t="shared" si="4"/>
        <v>31337.9</v>
      </c>
      <c r="AV46" s="279">
        <f t="shared" si="5"/>
        <v>155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3" t="s">
        <v>65</v>
      </c>
      <c r="G47" s="222" t="s">
        <v>111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132</v>
      </c>
      <c r="V47" s="115">
        <v>108</v>
      </c>
      <c r="W47" s="114">
        <v>43119</v>
      </c>
      <c r="X47" s="193" t="s">
        <v>131</v>
      </c>
      <c r="Y47" s="200">
        <v>43130</v>
      </c>
      <c r="Z47" s="193"/>
      <c r="AA47" s="193"/>
      <c r="AB47" s="22">
        <v>0</v>
      </c>
      <c r="AC47" s="170">
        <v>0</v>
      </c>
      <c r="AD47" s="209">
        <v>340</v>
      </c>
      <c r="AE47" s="194">
        <v>68741.2</v>
      </c>
      <c r="AF47" s="209"/>
      <c r="AG47" s="194"/>
      <c r="AH47" s="209"/>
      <c r="AI47" s="194"/>
      <c r="AJ47" s="232"/>
      <c r="AK47" s="170">
        <f t="shared" si="6"/>
        <v>68741.2</v>
      </c>
      <c r="AL47" s="272">
        <v>0</v>
      </c>
      <c r="AM47" s="212">
        <v>0</v>
      </c>
      <c r="AN47" s="269">
        <v>340</v>
      </c>
      <c r="AO47" s="217">
        <f t="shared" si="2"/>
        <v>68741.2</v>
      </c>
      <c r="AP47" s="232"/>
      <c r="AQ47" s="229"/>
      <c r="AR47" s="212">
        <v>202.18</v>
      </c>
      <c r="AS47" s="212">
        <f t="shared" si="3"/>
        <v>0</v>
      </c>
      <c r="AT47" s="227">
        <v>340</v>
      </c>
      <c r="AU47" s="228">
        <f t="shared" si="4"/>
        <v>68741.2</v>
      </c>
      <c r="AV47" s="279">
        <f t="shared" si="5"/>
        <v>340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161</v>
      </c>
      <c r="V48" s="115">
        <v>659</v>
      </c>
      <c r="W48" s="114">
        <v>43201</v>
      </c>
      <c r="X48" s="193" t="s">
        <v>159</v>
      </c>
      <c r="Y48" s="200">
        <v>43213</v>
      </c>
      <c r="Z48" s="193" t="s">
        <v>160</v>
      </c>
      <c r="AA48" s="200">
        <v>43255</v>
      </c>
      <c r="AB48" s="22">
        <v>0</v>
      </c>
      <c r="AC48" s="170">
        <v>0</v>
      </c>
      <c r="AD48" s="209">
        <v>245</v>
      </c>
      <c r="AE48" s="194">
        <v>49534.1</v>
      </c>
      <c r="AF48" s="209"/>
      <c r="AG48" s="194"/>
      <c r="AH48" s="209"/>
      <c r="AI48" s="194"/>
      <c r="AJ48" s="232"/>
      <c r="AK48" s="170">
        <f t="shared" si="6"/>
        <v>49534.1</v>
      </c>
      <c r="AL48" s="272">
        <v>0</v>
      </c>
      <c r="AM48" s="212">
        <v>0</v>
      </c>
      <c r="AN48" s="269">
        <v>245</v>
      </c>
      <c r="AO48" s="217">
        <f t="shared" si="2"/>
        <v>49534.1</v>
      </c>
      <c r="AP48" s="232"/>
      <c r="AQ48" s="229"/>
      <c r="AR48" s="212">
        <v>202.18</v>
      </c>
      <c r="AS48" s="212">
        <f t="shared" si="3"/>
        <v>0</v>
      </c>
      <c r="AT48" s="227">
        <v>245</v>
      </c>
      <c r="AU48" s="228">
        <f t="shared" si="4"/>
        <v>49534.1</v>
      </c>
      <c r="AV48" s="279">
        <f t="shared" si="5"/>
        <v>245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161</v>
      </c>
      <c r="V49" s="115">
        <v>834</v>
      </c>
      <c r="W49" s="114">
        <v>43222</v>
      </c>
      <c r="X49" s="193" t="s">
        <v>162</v>
      </c>
      <c r="Y49" s="200">
        <v>43242</v>
      </c>
      <c r="Z49" s="193"/>
      <c r="AA49" s="193"/>
      <c r="AB49" s="22">
        <v>0</v>
      </c>
      <c r="AC49" s="170">
        <v>0</v>
      </c>
      <c r="AD49" s="209">
        <v>555</v>
      </c>
      <c r="AE49" s="194">
        <v>112209.9</v>
      </c>
      <c r="AF49" s="209"/>
      <c r="AG49" s="194"/>
      <c r="AH49" s="209"/>
      <c r="AI49" s="194"/>
      <c r="AJ49" s="232"/>
      <c r="AK49" s="170">
        <f t="shared" si="6"/>
        <v>112209.9</v>
      </c>
      <c r="AL49" s="272">
        <v>0</v>
      </c>
      <c r="AM49" s="212">
        <v>0</v>
      </c>
      <c r="AN49" s="269">
        <v>555</v>
      </c>
      <c r="AO49" s="217">
        <f t="shared" si="2"/>
        <v>112209.9</v>
      </c>
      <c r="AP49" s="232"/>
      <c r="AQ49" s="229"/>
      <c r="AR49" s="212">
        <v>202.18</v>
      </c>
      <c r="AS49" s="212">
        <f t="shared" si="3"/>
        <v>0</v>
      </c>
      <c r="AT49" s="227">
        <v>555</v>
      </c>
      <c r="AU49" s="228">
        <f t="shared" si="4"/>
        <v>112209.90000000001</v>
      </c>
      <c r="AV49" s="279">
        <f t="shared" si="5"/>
        <v>555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175</v>
      </c>
      <c r="V50" s="115">
        <v>1006</v>
      </c>
      <c r="W50" s="114">
        <v>43244</v>
      </c>
      <c r="X50" s="193" t="s">
        <v>179</v>
      </c>
      <c r="Y50" s="200">
        <v>43285</v>
      </c>
      <c r="Z50" s="193"/>
      <c r="AA50" s="193"/>
      <c r="AB50" s="22">
        <v>0</v>
      </c>
      <c r="AC50" s="170">
        <v>0</v>
      </c>
      <c r="AD50" s="209">
        <v>45</v>
      </c>
      <c r="AE50" s="194">
        <v>8820</v>
      </c>
      <c r="AF50" s="209"/>
      <c r="AG50" s="194"/>
      <c r="AH50" s="209"/>
      <c r="AI50" s="194"/>
      <c r="AJ50" s="232"/>
      <c r="AK50" s="170">
        <f t="shared" si="6"/>
        <v>8820</v>
      </c>
      <c r="AL50" s="272">
        <v>0</v>
      </c>
      <c r="AM50" s="212">
        <v>0</v>
      </c>
      <c r="AN50" s="269">
        <v>45</v>
      </c>
      <c r="AO50" s="217">
        <f t="shared" si="2"/>
        <v>8820</v>
      </c>
      <c r="AP50" s="232"/>
      <c r="AQ50" s="229"/>
      <c r="AR50" s="212">
        <v>196</v>
      </c>
      <c r="AS50" s="212">
        <f t="shared" si="3"/>
        <v>0</v>
      </c>
      <c r="AT50" s="227">
        <v>45</v>
      </c>
      <c r="AU50" s="228">
        <f t="shared" si="4"/>
        <v>8820</v>
      </c>
      <c r="AV50" s="279">
        <f t="shared" si="5"/>
        <v>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175</v>
      </c>
      <c r="V51" s="115">
        <v>1006</v>
      </c>
      <c r="W51" s="114">
        <v>43244</v>
      </c>
      <c r="X51" s="193" t="s">
        <v>179</v>
      </c>
      <c r="Y51" s="200">
        <v>43285</v>
      </c>
      <c r="Z51" s="193"/>
      <c r="AA51" s="193"/>
      <c r="AB51" s="22">
        <v>0</v>
      </c>
      <c r="AC51" s="170">
        <v>0</v>
      </c>
      <c r="AD51" s="209">
        <v>55</v>
      </c>
      <c r="AE51" s="194">
        <v>11119.9</v>
      </c>
      <c r="AF51" s="209"/>
      <c r="AG51" s="194"/>
      <c r="AH51" s="209"/>
      <c r="AI51" s="194"/>
      <c r="AJ51" s="232"/>
      <c r="AK51" s="170">
        <f t="shared" si="6"/>
        <v>11119.9</v>
      </c>
      <c r="AL51" s="272">
        <v>0</v>
      </c>
      <c r="AM51" s="212">
        <v>0</v>
      </c>
      <c r="AN51" s="269">
        <v>55</v>
      </c>
      <c r="AO51" s="217">
        <f t="shared" si="2"/>
        <v>11119.9</v>
      </c>
      <c r="AP51" s="232"/>
      <c r="AQ51" s="229"/>
      <c r="AR51" s="212">
        <v>202.18</v>
      </c>
      <c r="AS51" s="212">
        <f t="shared" si="3"/>
        <v>0</v>
      </c>
      <c r="AT51" s="227">
        <v>55</v>
      </c>
      <c r="AU51" s="228">
        <f t="shared" si="4"/>
        <v>11119.9</v>
      </c>
      <c r="AV51" s="279">
        <f t="shared" si="5"/>
        <v>55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22">
        <v>0</v>
      </c>
      <c r="AC52" s="170">
        <v>0</v>
      </c>
      <c r="AD52" s="209">
        <v>210</v>
      </c>
      <c r="AE52" s="194">
        <v>42457.8</v>
      </c>
      <c r="AF52" s="209"/>
      <c r="AG52" s="194"/>
      <c r="AH52" s="209"/>
      <c r="AI52" s="194"/>
      <c r="AJ52" s="232"/>
      <c r="AK52" s="170">
        <f t="shared" si="6"/>
        <v>42457.8</v>
      </c>
      <c r="AL52" s="272">
        <v>0</v>
      </c>
      <c r="AM52" s="212">
        <v>0</v>
      </c>
      <c r="AN52" s="269">
        <v>210</v>
      </c>
      <c r="AO52" s="217">
        <f t="shared" si="2"/>
        <v>42457.8</v>
      </c>
      <c r="AP52" s="232"/>
      <c r="AQ52" s="229"/>
      <c r="AR52" s="212">
        <v>202.18</v>
      </c>
      <c r="AS52" s="212">
        <f t="shared" si="3"/>
        <v>0</v>
      </c>
      <c r="AT52" s="227">
        <v>210</v>
      </c>
      <c r="AU52" s="228">
        <f t="shared" si="4"/>
        <v>42457.8</v>
      </c>
      <c r="AV52" s="279">
        <f t="shared" si="5"/>
        <v>210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161</v>
      </c>
      <c r="V53" s="115">
        <v>1053</v>
      </c>
      <c r="W53" s="114">
        <v>43255</v>
      </c>
      <c r="X53" s="193" t="s">
        <v>177</v>
      </c>
      <c r="Y53" s="200">
        <v>43285</v>
      </c>
      <c r="Z53" s="193" t="s">
        <v>178</v>
      </c>
      <c r="AA53" s="200">
        <v>43269</v>
      </c>
      <c r="AB53" s="22">
        <v>0</v>
      </c>
      <c r="AC53" s="170">
        <v>0</v>
      </c>
      <c r="AD53" s="209">
        <v>105</v>
      </c>
      <c r="AE53" s="194">
        <v>21228.9</v>
      </c>
      <c r="AF53" s="209"/>
      <c r="AG53" s="194"/>
      <c r="AH53" s="209"/>
      <c r="AI53" s="194"/>
      <c r="AJ53" s="232"/>
      <c r="AK53" s="170">
        <f t="shared" si="6"/>
        <v>21228.9</v>
      </c>
      <c r="AL53" s="272">
        <v>0</v>
      </c>
      <c r="AM53" s="212">
        <v>0</v>
      </c>
      <c r="AN53" s="269">
        <v>105</v>
      </c>
      <c r="AO53" s="217">
        <f t="shared" si="2"/>
        <v>21228.9</v>
      </c>
      <c r="AP53" s="232"/>
      <c r="AQ53" s="229"/>
      <c r="AR53" s="212">
        <v>202.18</v>
      </c>
      <c r="AS53" s="212">
        <f t="shared" si="3"/>
        <v>0</v>
      </c>
      <c r="AT53" s="227">
        <v>105</v>
      </c>
      <c r="AU53" s="228">
        <f t="shared" si="4"/>
        <v>21228.9</v>
      </c>
      <c r="AV53" s="279">
        <f t="shared" si="5"/>
        <v>105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187</v>
      </c>
      <c r="V54" s="115">
        <v>1418</v>
      </c>
      <c r="W54" s="114">
        <v>43312</v>
      </c>
      <c r="X54" s="193" t="s">
        <v>184</v>
      </c>
      <c r="Y54" s="200">
        <v>43332</v>
      </c>
      <c r="Z54" s="193" t="s">
        <v>185</v>
      </c>
      <c r="AA54" s="200">
        <v>43320</v>
      </c>
      <c r="AB54" s="22">
        <v>0</v>
      </c>
      <c r="AC54" s="170">
        <v>0</v>
      </c>
      <c r="AD54" s="209">
        <v>30</v>
      </c>
      <c r="AE54" s="194">
        <v>5880</v>
      </c>
      <c r="AF54" s="209"/>
      <c r="AG54" s="194"/>
      <c r="AH54" s="209"/>
      <c r="AI54" s="194"/>
      <c r="AJ54" s="232"/>
      <c r="AK54" s="170">
        <f t="shared" si="6"/>
        <v>5880</v>
      </c>
      <c r="AL54" s="272">
        <v>0</v>
      </c>
      <c r="AM54" s="212">
        <v>0</v>
      </c>
      <c r="AN54" s="269">
        <v>30</v>
      </c>
      <c r="AO54" s="217">
        <v>0</v>
      </c>
      <c r="AP54" s="232"/>
      <c r="AQ54" s="229"/>
      <c r="AR54" s="212">
        <v>196</v>
      </c>
      <c r="AS54" s="212">
        <f t="shared" si="3"/>
        <v>0</v>
      </c>
      <c r="AT54" s="227">
        <v>30</v>
      </c>
      <c r="AU54" s="228">
        <f t="shared" si="4"/>
        <v>5880</v>
      </c>
      <c r="AV54" s="279">
        <f t="shared" si="5"/>
        <v>30</v>
      </c>
    </row>
    <row r="55" spans="1:48" s="62" customFormat="1" ht="26.25" customHeight="1">
      <c r="A55" s="59"/>
      <c r="B55" s="60"/>
      <c r="C55" s="60"/>
      <c r="D55" s="22"/>
      <c r="E55" s="79"/>
      <c r="F55" s="53" t="s">
        <v>65</v>
      </c>
      <c r="G55" s="222" t="s">
        <v>111</v>
      </c>
      <c r="H55" s="193"/>
      <c r="I55" s="193"/>
      <c r="J55" s="193"/>
      <c r="K55" s="193"/>
      <c r="L55" s="243"/>
      <c r="M55" s="242"/>
      <c r="N55" s="243"/>
      <c r="O55" s="193"/>
      <c r="P55" s="243"/>
      <c r="Q55" s="193"/>
      <c r="R55" s="243"/>
      <c r="S55" s="193"/>
      <c r="T55" s="243"/>
      <c r="U55" s="203"/>
      <c r="V55" s="115"/>
      <c r="W55" s="114"/>
      <c r="X55" s="193"/>
      <c r="Y55" s="200"/>
      <c r="Z55" s="193"/>
      <c r="AA55" s="200"/>
      <c r="AB55" s="22"/>
      <c r="AC55" s="170"/>
      <c r="AD55" s="209"/>
      <c r="AE55" s="194"/>
      <c r="AF55" s="209"/>
      <c r="AG55" s="194"/>
      <c r="AH55" s="209"/>
      <c r="AI55" s="194"/>
      <c r="AJ55" s="232"/>
      <c r="AK55" s="170"/>
      <c r="AL55" s="272"/>
      <c r="AM55" s="212"/>
      <c r="AN55" s="269"/>
      <c r="AO55" s="217"/>
      <c r="AP55" s="232"/>
      <c r="AQ55" s="229"/>
      <c r="AR55" s="212"/>
      <c r="AS55" s="212"/>
      <c r="AT55" s="227">
        <v>30</v>
      </c>
      <c r="AU55" s="228"/>
      <c r="AV55" s="279">
        <f t="shared" si="5"/>
        <v>30</v>
      </c>
    </row>
    <row r="56" spans="1:48" s="62" customFormat="1" ht="26.25" hidden="1" customHeight="1">
      <c r="A56" s="59"/>
      <c r="B56" s="60"/>
      <c r="C56" s="60"/>
      <c r="D56" s="22"/>
      <c r="E56" s="79" t="s">
        <v>24</v>
      </c>
      <c r="F56" s="51" t="s">
        <v>249</v>
      </c>
      <c r="G56" s="275" t="s">
        <v>146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>
        <v>250</v>
      </c>
      <c r="P56" s="276">
        <v>66042.58</v>
      </c>
      <c r="Q56" s="115"/>
      <c r="R56" s="276"/>
      <c r="S56" s="115"/>
      <c r="T56" s="276"/>
      <c r="U56" s="278" t="s">
        <v>181</v>
      </c>
      <c r="V56" s="115">
        <v>1405</v>
      </c>
      <c r="W56" s="114">
        <v>43052</v>
      </c>
      <c r="X56" s="115" t="s">
        <v>182</v>
      </c>
      <c r="Y56" s="221">
        <v>43201</v>
      </c>
      <c r="Z56" s="115"/>
      <c r="AA56" s="115"/>
      <c r="AB56" s="22">
        <v>0</v>
      </c>
      <c r="AC56" s="170">
        <v>0</v>
      </c>
      <c r="AD56" s="208">
        <v>125</v>
      </c>
      <c r="AE56" s="170">
        <v>26255</v>
      </c>
      <c r="AF56" s="208"/>
      <c r="AG56" s="170"/>
      <c r="AH56" s="208"/>
      <c r="AI56" s="170"/>
      <c r="AJ56" s="232"/>
      <c r="AK56" s="170">
        <f t="shared" si="6"/>
        <v>26255</v>
      </c>
      <c r="AL56" s="270">
        <f>63+62</f>
        <v>125</v>
      </c>
      <c r="AM56" s="170">
        <v>26255</v>
      </c>
      <c r="AN56" s="270">
        <v>0</v>
      </c>
      <c r="AO56" s="170">
        <f t="shared" si="2"/>
        <v>0</v>
      </c>
      <c r="AP56" s="233"/>
      <c r="AQ56" s="233"/>
      <c r="AR56" s="170">
        <v>210.04</v>
      </c>
      <c r="AS56" s="170">
        <f t="shared" si="3"/>
        <v>0</v>
      </c>
      <c r="AT56" s="208">
        <v>0</v>
      </c>
      <c r="AU56" s="170">
        <f t="shared" si="4"/>
        <v>0</v>
      </c>
      <c r="AV56" s="233">
        <f t="shared" si="5"/>
        <v>0</v>
      </c>
    </row>
    <row r="57" spans="1:48" s="62" customFormat="1" ht="26.25" hidden="1" customHeight="1">
      <c r="A57" s="59"/>
      <c r="B57" s="60"/>
      <c r="C57" s="60"/>
      <c r="D57" s="22"/>
      <c r="E57" s="79" t="s">
        <v>24</v>
      </c>
      <c r="F57" s="51" t="s">
        <v>249</v>
      </c>
      <c r="G57" s="275" t="s">
        <v>146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145</v>
      </c>
      <c r="V57" s="115">
        <v>1381</v>
      </c>
      <c r="W57" s="114">
        <v>43047</v>
      </c>
      <c r="X57" s="115" t="s">
        <v>144</v>
      </c>
      <c r="Y57" s="221">
        <v>43201</v>
      </c>
      <c r="Z57" s="115"/>
      <c r="AA57" s="115"/>
      <c r="AB57" s="22">
        <v>0</v>
      </c>
      <c r="AC57" s="170">
        <v>0</v>
      </c>
      <c r="AD57" s="208">
        <v>80</v>
      </c>
      <c r="AE57" s="170">
        <v>16803.2</v>
      </c>
      <c r="AF57" s="208"/>
      <c r="AG57" s="170"/>
      <c r="AH57" s="208"/>
      <c r="AI57" s="170"/>
      <c r="AJ57" s="232"/>
      <c r="AK57" s="170">
        <f t="shared" si="6"/>
        <v>16803.2</v>
      </c>
      <c r="AL57" s="270">
        <v>80</v>
      </c>
      <c r="AM57" s="170">
        <v>16803.2</v>
      </c>
      <c r="AN57" s="270">
        <v>0</v>
      </c>
      <c r="AO57" s="170">
        <f t="shared" si="2"/>
        <v>0</v>
      </c>
      <c r="AP57" s="233"/>
      <c r="AQ57" s="233"/>
      <c r="AR57" s="170">
        <f>AM57/AL57</f>
        <v>210.04000000000002</v>
      </c>
      <c r="AS57" s="170">
        <f t="shared" si="3"/>
        <v>0</v>
      </c>
      <c r="AT57" s="208">
        <v>0</v>
      </c>
      <c r="AU57" s="170">
        <f t="shared" si="4"/>
        <v>0</v>
      </c>
      <c r="AV57" s="233">
        <f t="shared" si="5"/>
        <v>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148</v>
      </c>
      <c r="V58" s="115">
        <v>546</v>
      </c>
      <c r="W58" s="114">
        <v>43182</v>
      </c>
      <c r="X58" s="115" t="s">
        <v>149</v>
      </c>
      <c r="Y58" s="221">
        <v>43201</v>
      </c>
      <c r="Z58" s="115" t="s">
        <v>147</v>
      </c>
      <c r="AA58" s="221">
        <v>43252</v>
      </c>
      <c r="AB58" s="22">
        <v>0</v>
      </c>
      <c r="AC58" s="170">
        <v>0</v>
      </c>
      <c r="AD58" s="208">
        <v>10</v>
      </c>
      <c r="AE58" s="170">
        <v>2038.7</v>
      </c>
      <c r="AF58" s="208"/>
      <c r="AG58" s="170"/>
      <c r="AH58" s="208"/>
      <c r="AI58" s="170"/>
      <c r="AJ58" s="232"/>
      <c r="AK58" s="170">
        <f t="shared" si="6"/>
        <v>2038.7</v>
      </c>
      <c r="AL58" s="270">
        <v>10</v>
      </c>
      <c r="AM58" s="170">
        <v>2038.7</v>
      </c>
      <c r="AN58" s="270">
        <v>0</v>
      </c>
      <c r="AO58" s="170">
        <f t="shared" si="2"/>
        <v>0</v>
      </c>
      <c r="AP58" s="233"/>
      <c r="AQ58" s="233"/>
      <c r="AR58" s="170">
        <f>AM58/AL58</f>
        <v>203.87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162" t="s">
        <v>68</v>
      </c>
      <c r="G59" s="222" t="s">
        <v>146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148</v>
      </c>
      <c r="V59" s="115">
        <v>834</v>
      </c>
      <c r="W59" s="114">
        <v>43222</v>
      </c>
      <c r="X59" s="193" t="s">
        <v>162</v>
      </c>
      <c r="Y59" s="200">
        <v>43242</v>
      </c>
      <c r="Z59" s="193"/>
      <c r="AA59" s="193"/>
      <c r="AB59" s="22">
        <v>0</v>
      </c>
      <c r="AC59" s="170">
        <v>0</v>
      </c>
      <c r="AD59" s="209">
        <v>10</v>
      </c>
      <c r="AE59" s="194">
        <v>2100.4</v>
      </c>
      <c r="AF59" s="209"/>
      <c r="AG59" s="194"/>
      <c r="AH59" s="209"/>
      <c r="AI59" s="194"/>
      <c r="AJ59" s="232"/>
      <c r="AK59" s="170">
        <f t="shared" si="6"/>
        <v>2100.4</v>
      </c>
      <c r="AL59" s="272">
        <v>0</v>
      </c>
      <c r="AM59" s="212">
        <v>0</v>
      </c>
      <c r="AN59" s="269">
        <v>10</v>
      </c>
      <c r="AO59" s="217">
        <f t="shared" si="2"/>
        <v>2100.4</v>
      </c>
      <c r="AP59" s="232"/>
      <c r="AQ59" s="229"/>
      <c r="AR59" s="212">
        <v>210.04</v>
      </c>
      <c r="AS59" s="212">
        <f t="shared" si="3"/>
        <v>0</v>
      </c>
      <c r="AT59" s="227">
        <v>10</v>
      </c>
      <c r="AU59" s="228">
        <f t="shared" si="4"/>
        <v>2100.4</v>
      </c>
      <c r="AV59" s="279">
        <f t="shared" si="5"/>
        <v>10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162" t="s">
        <v>68</v>
      </c>
      <c r="G60" s="222" t="s">
        <v>146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148</v>
      </c>
      <c r="V60" s="115">
        <v>1006</v>
      </c>
      <c r="W60" s="114">
        <v>43244</v>
      </c>
      <c r="X60" s="193" t="s">
        <v>179</v>
      </c>
      <c r="Y60" s="200">
        <v>43285</v>
      </c>
      <c r="Z60" s="193"/>
      <c r="AA60" s="193"/>
      <c r="AB60" s="22">
        <v>0</v>
      </c>
      <c r="AC60" s="170">
        <v>0</v>
      </c>
      <c r="AD60" s="209">
        <v>5</v>
      </c>
      <c r="AE60" s="194">
        <v>1019.35</v>
      </c>
      <c r="AF60" s="209"/>
      <c r="AG60" s="194"/>
      <c r="AH60" s="209"/>
      <c r="AI60" s="194"/>
      <c r="AJ60" s="232"/>
      <c r="AK60" s="170">
        <f t="shared" si="6"/>
        <v>1019.35</v>
      </c>
      <c r="AL60" s="272">
        <v>0</v>
      </c>
      <c r="AM60" s="212">
        <v>0</v>
      </c>
      <c r="AN60" s="269">
        <v>5</v>
      </c>
      <c r="AO60" s="217">
        <f t="shared" si="2"/>
        <v>1019.35</v>
      </c>
      <c r="AP60" s="232"/>
      <c r="AQ60" s="229"/>
      <c r="AR60" s="212">
        <v>203.87</v>
      </c>
      <c r="AS60" s="212">
        <f t="shared" si="3"/>
        <v>0</v>
      </c>
      <c r="AT60" s="227">
        <v>5</v>
      </c>
      <c r="AU60" s="228">
        <f t="shared" si="4"/>
        <v>1019.35</v>
      </c>
      <c r="AV60" s="279">
        <f t="shared" si="5"/>
        <v>5</v>
      </c>
    </row>
    <row r="61" spans="1:48" s="62" customFormat="1" ht="25.5" hidden="1" customHeight="1">
      <c r="A61" s="59"/>
      <c r="B61" s="60"/>
      <c r="C61" s="60"/>
      <c r="D61" s="22"/>
      <c r="E61" s="79" t="s">
        <v>24</v>
      </c>
      <c r="F61" s="51" t="s">
        <v>247</v>
      </c>
      <c r="G61" s="275" t="s">
        <v>114</v>
      </c>
      <c r="H61" s="115" t="s">
        <v>91</v>
      </c>
      <c r="I61" s="115" t="s">
        <v>91</v>
      </c>
      <c r="J61" s="115">
        <v>360</v>
      </c>
      <c r="K61" s="115">
        <v>1</v>
      </c>
      <c r="L61" s="276">
        <v>303.16000000000003</v>
      </c>
      <c r="M61" s="277">
        <f t="shared" si="0"/>
        <v>360</v>
      </c>
      <c r="N61" s="276">
        <f t="shared" si="1"/>
        <v>109137.60000000001</v>
      </c>
      <c r="O61" s="115">
        <v>180</v>
      </c>
      <c r="P61" s="276">
        <v>49667.4</v>
      </c>
      <c r="Q61" s="115">
        <v>360</v>
      </c>
      <c r="R61" s="276">
        <v>107470.8</v>
      </c>
      <c r="S61" s="115">
        <v>90</v>
      </c>
      <c r="T61" s="276">
        <v>27284.400000000001</v>
      </c>
      <c r="U61" s="278" t="s">
        <v>115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8</v>
      </c>
      <c r="AE61" s="170">
        <v>2388</v>
      </c>
      <c r="AF61" s="208"/>
      <c r="AG61" s="170"/>
      <c r="AH61" s="208"/>
      <c r="AI61" s="170"/>
      <c r="AJ61" s="232"/>
      <c r="AK61" s="170">
        <f t="shared" si="6"/>
        <v>2388</v>
      </c>
      <c r="AL61" s="270">
        <v>0</v>
      </c>
      <c r="AM61" s="170">
        <v>0</v>
      </c>
      <c r="AN61" s="270">
        <v>8</v>
      </c>
      <c r="AO61" s="170">
        <f t="shared" si="2"/>
        <v>2388</v>
      </c>
      <c r="AP61" s="233"/>
      <c r="AQ61" s="233"/>
      <c r="AR61" s="170">
        <v>298.5</v>
      </c>
      <c r="AS61" s="170">
        <f t="shared" si="3"/>
        <v>0</v>
      </c>
      <c r="AT61" s="233">
        <f>8-8</f>
        <v>0</v>
      </c>
      <c r="AU61" s="386">
        <f t="shared" si="4"/>
        <v>0</v>
      </c>
      <c r="AV61" s="233">
        <f t="shared" si="5"/>
        <v>0</v>
      </c>
    </row>
    <row r="62" spans="1:48" s="62" customFormat="1" ht="25.5" hidden="1" customHeight="1">
      <c r="A62" s="59"/>
      <c r="B62" s="60"/>
      <c r="C62" s="60"/>
      <c r="D62" s="22"/>
      <c r="E62" s="79" t="s">
        <v>24</v>
      </c>
      <c r="F62" s="51" t="s">
        <v>247</v>
      </c>
      <c r="G62" s="275" t="s">
        <v>114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137</v>
      </c>
      <c r="V62" s="115">
        <v>427</v>
      </c>
      <c r="W62" s="114">
        <v>43164</v>
      </c>
      <c r="X62" s="115" t="s">
        <v>138</v>
      </c>
      <c r="Y62" s="221">
        <v>43164</v>
      </c>
      <c r="Z62" s="115"/>
      <c r="AA62" s="115"/>
      <c r="AB62" s="22">
        <v>0</v>
      </c>
      <c r="AC62" s="170">
        <v>0</v>
      </c>
      <c r="AD62" s="208">
        <v>34</v>
      </c>
      <c r="AE62" s="170">
        <v>10149</v>
      </c>
      <c r="AF62" s="208"/>
      <c r="AG62" s="170"/>
      <c r="AH62" s="208"/>
      <c r="AI62" s="170"/>
      <c r="AJ62" s="232"/>
      <c r="AK62" s="170">
        <f t="shared" si="6"/>
        <v>10149</v>
      </c>
      <c r="AL62" s="270">
        <v>0</v>
      </c>
      <c r="AM62" s="170">
        <v>0</v>
      </c>
      <c r="AN62" s="270">
        <v>34</v>
      </c>
      <c r="AO62" s="170">
        <f t="shared" si="2"/>
        <v>10149</v>
      </c>
      <c r="AP62" s="233"/>
      <c r="AQ62" s="233"/>
      <c r="AR62" s="170">
        <v>298.5</v>
      </c>
      <c r="AS62" s="170">
        <f t="shared" si="3"/>
        <v>0</v>
      </c>
      <c r="AT62" s="233">
        <f>34-34</f>
        <v>0</v>
      </c>
      <c r="AU62" s="386">
        <f t="shared" si="4"/>
        <v>0</v>
      </c>
      <c r="AV62" s="233">
        <f t="shared" si="5"/>
        <v>0</v>
      </c>
    </row>
    <row r="63" spans="1:48" s="62" customFormat="1" ht="25.5" customHeight="1">
      <c r="A63" s="59"/>
      <c r="B63" s="60"/>
      <c r="C63" s="60"/>
      <c r="D63" s="22"/>
      <c r="E63" s="79" t="s">
        <v>24</v>
      </c>
      <c r="F63" s="140" t="s">
        <v>55</v>
      </c>
      <c r="G63" s="222" t="s">
        <v>114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153</v>
      </c>
      <c r="V63" s="115">
        <v>613</v>
      </c>
      <c r="W63" s="114">
        <v>43193</v>
      </c>
      <c r="X63" s="193">
        <v>97</v>
      </c>
      <c r="Y63" s="200">
        <v>43202</v>
      </c>
      <c r="Z63" s="193" t="s">
        <v>154</v>
      </c>
      <c r="AA63" s="200">
        <v>43214</v>
      </c>
      <c r="AB63" s="22">
        <v>0</v>
      </c>
      <c r="AC63" s="170">
        <v>0</v>
      </c>
      <c r="AD63" s="209">
        <v>270</v>
      </c>
      <c r="AE63" s="194">
        <v>80595</v>
      </c>
      <c r="AF63" s="209"/>
      <c r="AG63" s="194"/>
      <c r="AH63" s="209"/>
      <c r="AI63" s="194"/>
      <c r="AJ63" s="232"/>
      <c r="AK63" s="170">
        <f t="shared" si="6"/>
        <v>80595</v>
      </c>
      <c r="AL63" s="272">
        <v>0</v>
      </c>
      <c r="AM63" s="212">
        <v>0</v>
      </c>
      <c r="AN63" s="269">
        <v>270</v>
      </c>
      <c r="AO63" s="217">
        <f t="shared" si="2"/>
        <v>80595</v>
      </c>
      <c r="AP63" s="232"/>
      <c r="AQ63" s="229"/>
      <c r="AR63" s="212">
        <v>298.5</v>
      </c>
      <c r="AS63" s="212">
        <f t="shared" si="3"/>
        <v>0</v>
      </c>
      <c r="AT63" s="227">
        <f>270-16-60-180</f>
        <v>14</v>
      </c>
      <c r="AU63" s="228">
        <f t="shared" si="4"/>
        <v>4179</v>
      </c>
      <c r="AV63" s="279">
        <f t="shared" si="5"/>
        <v>14</v>
      </c>
    </row>
    <row r="64" spans="1:48" s="62" customFormat="1" ht="25.5" customHeight="1">
      <c r="A64" s="59"/>
      <c r="B64" s="60"/>
      <c r="C64" s="60"/>
      <c r="D64" s="22"/>
      <c r="E64" s="79" t="s">
        <v>24</v>
      </c>
      <c r="F64" s="140" t="s">
        <v>55</v>
      </c>
      <c r="G64" s="222" t="s">
        <v>114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115</v>
      </c>
      <c r="V64" s="115">
        <v>612</v>
      </c>
      <c r="W64" s="114">
        <v>43193</v>
      </c>
      <c r="X64" s="193">
        <v>97</v>
      </c>
      <c r="Y64" s="200">
        <v>43202</v>
      </c>
      <c r="Z64" s="193" t="s">
        <v>155</v>
      </c>
      <c r="AA64" s="200">
        <v>43214</v>
      </c>
      <c r="AB64" s="22">
        <v>0</v>
      </c>
      <c r="AC64" s="170">
        <v>0</v>
      </c>
      <c r="AD64" s="209">
        <v>40</v>
      </c>
      <c r="AE64" s="194">
        <v>11940</v>
      </c>
      <c r="AF64" s="209"/>
      <c r="AG64" s="194"/>
      <c r="AH64" s="209"/>
      <c r="AI64" s="194"/>
      <c r="AJ64" s="232"/>
      <c r="AK64" s="170">
        <f t="shared" si="6"/>
        <v>11940</v>
      </c>
      <c r="AL64" s="272">
        <v>0</v>
      </c>
      <c r="AM64" s="212">
        <v>0</v>
      </c>
      <c r="AN64" s="269">
        <v>40</v>
      </c>
      <c r="AO64" s="217">
        <f t="shared" si="2"/>
        <v>11940</v>
      </c>
      <c r="AP64" s="232"/>
      <c r="AQ64" s="229"/>
      <c r="AR64" s="212">
        <v>298.5</v>
      </c>
      <c r="AS64" s="212">
        <f t="shared" si="3"/>
        <v>0</v>
      </c>
      <c r="AT64" s="227">
        <v>40</v>
      </c>
      <c r="AU64" s="228">
        <f t="shared" si="4"/>
        <v>11940</v>
      </c>
      <c r="AV64" s="279">
        <f t="shared" si="5"/>
        <v>40</v>
      </c>
    </row>
    <row r="65" spans="1:48" s="62" customFormat="1" ht="25.5" customHeight="1">
      <c r="A65" s="59"/>
      <c r="B65" s="60"/>
      <c r="C65" s="60"/>
      <c r="D65" s="22"/>
      <c r="E65" s="79"/>
      <c r="F65" s="140" t="s">
        <v>55</v>
      </c>
      <c r="G65" s="222" t="s">
        <v>114</v>
      </c>
      <c r="H65" s="193"/>
      <c r="I65" s="193"/>
      <c r="J65" s="193"/>
      <c r="K65" s="193"/>
      <c r="L65" s="243"/>
      <c r="M65" s="242"/>
      <c r="N65" s="243"/>
      <c r="O65" s="193"/>
      <c r="P65" s="243"/>
      <c r="Q65" s="193"/>
      <c r="R65" s="243"/>
      <c r="S65" s="193"/>
      <c r="T65" s="243"/>
      <c r="U65" s="203" t="s">
        <v>244</v>
      </c>
      <c r="V65" s="115"/>
      <c r="W65" s="114"/>
      <c r="X65" s="193"/>
      <c r="Y65" s="200"/>
      <c r="Z65" s="193"/>
      <c r="AA65" s="200"/>
      <c r="AB65" s="22"/>
      <c r="AC65" s="170"/>
      <c r="AD65" s="209"/>
      <c r="AE65" s="194"/>
      <c r="AF65" s="209"/>
      <c r="AG65" s="194"/>
      <c r="AH65" s="209"/>
      <c r="AI65" s="194"/>
      <c r="AJ65" s="232"/>
      <c r="AK65" s="170"/>
      <c r="AL65" s="272"/>
      <c r="AM65" s="212"/>
      <c r="AN65" s="269"/>
      <c r="AO65" s="217"/>
      <c r="AP65" s="232"/>
      <c r="AQ65" s="229"/>
      <c r="AR65" s="212"/>
      <c r="AS65" s="212"/>
      <c r="AT65" s="227">
        <v>6</v>
      </c>
      <c r="AU65" s="228"/>
      <c r="AV65" s="279">
        <f t="shared" si="5"/>
        <v>6</v>
      </c>
    </row>
    <row r="66" spans="1:48" s="62" customFormat="1" ht="25.5" hidden="1" customHeight="1">
      <c r="A66" s="59"/>
      <c r="B66" s="60"/>
      <c r="C66" s="60"/>
      <c r="D66" s="22"/>
      <c r="E66" s="79" t="s">
        <v>24</v>
      </c>
      <c r="F66" s="51" t="s">
        <v>250</v>
      </c>
      <c r="G66" s="275" t="s">
        <v>140</v>
      </c>
      <c r="H66" s="115" t="s">
        <v>91</v>
      </c>
      <c r="I66" s="115" t="s">
        <v>91</v>
      </c>
      <c r="J66" s="115">
        <v>1080</v>
      </c>
      <c r="K66" s="115">
        <v>2</v>
      </c>
      <c r="L66" s="276">
        <v>304.58999999999997</v>
      </c>
      <c r="M66" s="277">
        <f t="shared" si="0"/>
        <v>2160</v>
      </c>
      <c r="N66" s="276">
        <f t="shared" si="1"/>
        <v>657914.39999999991</v>
      </c>
      <c r="O66" s="115">
        <v>180</v>
      </c>
      <c r="P66" s="276">
        <v>49908.6</v>
      </c>
      <c r="Q66" s="115">
        <v>1080</v>
      </c>
      <c r="R66" s="276">
        <v>323838</v>
      </c>
      <c r="S66" s="115">
        <v>602</v>
      </c>
      <c r="T66" s="276">
        <v>183363.18</v>
      </c>
      <c r="U66" s="278" t="s">
        <v>139</v>
      </c>
      <c r="V66" s="115">
        <v>427</v>
      </c>
      <c r="W66" s="114">
        <v>43164</v>
      </c>
      <c r="X66" s="115" t="s">
        <v>138</v>
      </c>
      <c r="Y66" s="221">
        <v>43164</v>
      </c>
      <c r="Z66" s="115"/>
      <c r="AA66" s="115"/>
      <c r="AB66" s="22">
        <v>0</v>
      </c>
      <c r="AC66" s="170">
        <v>0</v>
      </c>
      <c r="AD66" s="208">
        <v>56</v>
      </c>
      <c r="AE66" s="170">
        <v>16794.400000000001</v>
      </c>
      <c r="AF66" s="208"/>
      <c r="AG66" s="170"/>
      <c r="AH66" s="208"/>
      <c r="AI66" s="170"/>
      <c r="AJ66" s="232"/>
      <c r="AK66" s="170">
        <f t="shared" si="6"/>
        <v>16794.400000000001</v>
      </c>
      <c r="AL66" s="270">
        <v>0</v>
      </c>
      <c r="AM66" s="170">
        <v>0</v>
      </c>
      <c r="AN66" s="270">
        <v>56</v>
      </c>
      <c r="AO66" s="170">
        <f t="shared" si="2"/>
        <v>16794.400000000001</v>
      </c>
      <c r="AP66" s="233"/>
      <c r="AQ66" s="233"/>
      <c r="AR66" s="170">
        <v>299.89999999999998</v>
      </c>
      <c r="AS66" s="170">
        <f t="shared" si="3"/>
        <v>0</v>
      </c>
      <c r="AT66" s="233">
        <f>18-18</f>
        <v>0</v>
      </c>
      <c r="AU66" s="386">
        <f t="shared" si="4"/>
        <v>0</v>
      </c>
      <c r="AV66" s="279">
        <f t="shared" si="5"/>
        <v>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15"/>
      <c r="I67" s="115"/>
      <c r="J67" s="115"/>
      <c r="K67" s="115"/>
      <c r="L67" s="276"/>
      <c r="M67" s="277"/>
      <c r="N67" s="276"/>
      <c r="O67" s="115"/>
      <c r="P67" s="276"/>
      <c r="Q67" s="115"/>
      <c r="R67" s="276"/>
      <c r="S67" s="115"/>
      <c r="T67" s="276"/>
      <c r="U67" s="203" t="s">
        <v>262</v>
      </c>
      <c r="V67" s="115"/>
      <c r="W67" s="114"/>
      <c r="X67" s="115"/>
      <c r="Y67" s="221"/>
      <c r="Z67" s="115"/>
      <c r="AA67" s="115"/>
      <c r="AB67" s="22"/>
      <c r="AC67" s="170"/>
      <c r="AD67" s="208"/>
      <c r="AE67" s="170"/>
      <c r="AF67" s="208"/>
      <c r="AG67" s="170"/>
      <c r="AH67" s="208"/>
      <c r="AI67" s="170"/>
      <c r="AJ67" s="232">
        <v>234</v>
      </c>
      <c r="AK67" s="170"/>
      <c r="AL67" s="270"/>
      <c r="AM67" s="170"/>
      <c r="AN67" s="270"/>
      <c r="AO67" s="170"/>
      <c r="AP67" s="233"/>
      <c r="AQ67" s="233"/>
      <c r="AR67" s="170"/>
      <c r="AS67" s="170"/>
      <c r="AT67" s="227">
        <v>234</v>
      </c>
      <c r="AU67" s="386"/>
      <c r="AV67" s="279">
        <f t="shared" si="5"/>
        <v>234</v>
      </c>
    </row>
    <row r="68" spans="1:48" s="62" customFormat="1" ht="25.5" customHeight="1">
      <c r="A68" s="59"/>
      <c r="B68" s="60"/>
      <c r="C68" s="60"/>
      <c r="D68" s="22"/>
      <c r="E68" s="79"/>
      <c r="F68" s="140" t="s">
        <v>55</v>
      </c>
      <c r="G68" s="222" t="s">
        <v>114</v>
      </c>
      <c r="H68" s="115"/>
      <c r="I68" s="115"/>
      <c r="J68" s="115"/>
      <c r="K68" s="115"/>
      <c r="L68" s="276"/>
      <c r="M68" s="277"/>
      <c r="N68" s="276"/>
      <c r="O68" s="115"/>
      <c r="P68" s="276"/>
      <c r="Q68" s="115"/>
      <c r="R68" s="276"/>
      <c r="S68" s="115"/>
      <c r="T68" s="276"/>
      <c r="U68" s="203" t="s">
        <v>263</v>
      </c>
      <c r="V68" s="115"/>
      <c r="W68" s="114"/>
      <c r="X68" s="115"/>
      <c r="Y68" s="221"/>
      <c r="Z68" s="115"/>
      <c r="AA68" s="115"/>
      <c r="AB68" s="22"/>
      <c r="AC68" s="170"/>
      <c r="AD68" s="208"/>
      <c r="AE68" s="170"/>
      <c r="AF68" s="208"/>
      <c r="AG68" s="170"/>
      <c r="AH68" s="208"/>
      <c r="AI68" s="170"/>
      <c r="AJ68" s="232">
        <v>14</v>
      </c>
      <c r="AK68" s="170"/>
      <c r="AL68" s="270"/>
      <c r="AM68" s="170"/>
      <c r="AN68" s="270"/>
      <c r="AO68" s="170"/>
      <c r="AP68" s="233"/>
      <c r="AQ68" s="233"/>
      <c r="AR68" s="170"/>
      <c r="AS68" s="170"/>
      <c r="AT68" s="227">
        <v>14</v>
      </c>
      <c r="AU68" s="386"/>
      <c r="AV68" s="279">
        <f t="shared" si="5"/>
        <v>14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 t="shared" si="5"/>
        <v>36</v>
      </c>
    </row>
    <row r="70" spans="1:48" s="62" customFormat="1" ht="25.5" customHeight="1">
      <c r="A70" s="59"/>
      <c r="B70" s="60"/>
      <c r="C70" s="60"/>
      <c r="D70" s="22"/>
      <c r="E70" s="79" t="s">
        <v>24</v>
      </c>
      <c r="F70" s="173" t="s">
        <v>64</v>
      </c>
      <c r="G70" s="222" t="s">
        <v>140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157</v>
      </c>
      <c r="V70" s="115">
        <v>605</v>
      </c>
      <c r="W70" s="114">
        <v>43193</v>
      </c>
      <c r="X70" s="193">
        <v>97</v>
      </c>
      <c r="Y70" s="200">
        <v>43202</v>
      </c>
      <c r="Z70" s="193" t="s">
        <v>158</v>
      </c>
      <c r="AA70" s="200">
        <v>43216</v>
      </c>
      <c r="AB70" s="22">
        <v>0</v>
      </c>
      <c r="AC70" s="170">
        <v>0</v>
      </c>
      <c r="AD70" s="209">
        <v>510</v>
      </c>
      <c r="AE70" s="194">
        <v>152949</v>
      </c>
      <c r="AF70" s="209"/>
      <c r="AG70" s="194"/>
      <c r="AH70" s="209"/>
      <c r="AI70" s="194"/>
      <c r="AJ70" s="232"/>
      <c r="AK70" s="170">
        <f t="shared" si="6"/>
        <v>152949</v>
      </c>
      <c r="AL70" s="272">
        <v>0</v>
      </c>
      <c r="AM70" s="212">
        <v>0</v>
      </c>
      <c r="AN70" s="269">
        <v>510</v>
      </c>
      <c r="AO70" s="217">
        <f t="shared" si="2"/>
        <v>152949</v>
      </c>
      <c r="AP70" s="232"/>
      <c r="AQ70" s="229"/>
      <c r="AR70" s="212">
        <v>299.89999999999998</v>
      </c>
      <c r="AS70" s="212">
        <f t="shared" si="3"/>
        <v>0</v>
      </c>
      <c r="AT70" s="227">
        <f>510-42-60-60-120-60</f>
        <v>168</v>
      </c>
      <c r="AU70" s="228">
        <f t="shared" si="4"/>
        <v>50383.199999999997</v>
      </c>
      <c r="AV70" s="279">
        <f t="shared" si="5"/>
        <v>168</v>
      </c>
    </row>
    <row r="71" spans="1:48" s="62" customFormat="1" ht="25.5" customHeight="1">
      <c r="A71" s="59"/>
      <c r="B71" s="60"/>
      <c r="C71" s="60"/>
      <c r="D71" s="22"/>
      <c r="E71" s="79"/>
      <c r="F71" s="173" t="s">
        <v>64</v>
      </c>
      <c r="G71" s="222" t="s">
        <v>140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 t="s">
        <v>244</v>
      </c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2"/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368</v>
      </c>
      <c r="AU71" s="228"/>
      <c r="AV71" s="279">
        <f t="shared" si="5"/>
        <v>368</v>
      </c>
    </row>
    <row r="72" spans="1:48" s="62" customFormat="1" ht="25.5" customHeight="1">
      <c r="A72" s="59"/>
      <c r="B72" s="60"/>
      <c r="C72" s="60"/>
      <c r="D72" s="22"/>
      <c r="E72" s="79"/>
      <c r="F72" s="173" t="s">
        <v>64</v>
      </c>
      <c r="G72" s="222" t="s">
        <v>140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 t="s">
        <v>264</v>
      </c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2">
        <v>224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224</v>
      </c>
      <c r="AU72" s="228"/>
      <c r="AV72" s="279">
        <f t="shared" si="5"/>
        <v>224</v>
      </c>
    </row>
    <row r="73" spans="1:48" s="62" customFormat="1" ht="25.5" customHeight="1">
      <c r="A73" s="59"/>
      <c r="B73" s="60"/>
      <c r="C73" s="60"/>
      <c r="D73" s="22"/>
      <c r="E73" s="79"/>
      <c r="F73" s="173" t="s">
        <v>64</v>
      </c>
      <c r="G73" s="222" t="s">
        <v>140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 t="s">
        <v>244</v>
      </c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>
        <v>176</v>
      </c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176</v>
      </c>
      <c r="AU73" s="228"/>
      <c r="AV73" s="279">
        <f t="shared" si="5"/>
        <v>176</v>
      </c>
    </row>
    <row r="74" spans="1:48" s="62" customFormat="1" ht="31.5">
      <c r="A74" s="59"/>
      <c r="B74" s="60"/>
      <c r="C74" s="60"/>
      <c r="D74" s="22"/>
      <c r="E74" s="79" t="s">
        <v>24</v>
      </c>
      <c r="F74" s="51" t="s">
        <v>57</v>
      </c>
      <c r="G74" s="275" t="s">
        <v>121</v>
      </c>
      <c r="H74" s="115" t="s">
        <v>91</v>
      </c>
      <c r="I74" s="115" t="s">
        <v>91</v>
      </c>
      <c r="J74" s="115">
        <v>480</v>
      </c>
      <c r="K74" s="115">
        <v>3</v>
      </c>
      <c r="L74" s="276">
        <v>19.399999999999999</v>
      </c>
      <c r="M74" s="277">
        <f>J74*K74</f>
        <v>1440</v>
      </c>
      <c r="N74" s="276">
        <f t="shared" si="1"/>
        <v>27935.999999999996</v>
      </c>
      <c r="O74" s="115">
        <v>6637</v>
      </c>
      <c r="P74" s="276">
        <v>108249.47</v>
      </c>
      <c r="Q74" s="115">
        <v>4000</v>
      </c>
      <c r="R74" s="276">
        <v>89720</v>
      </c>
      <c r="S74" s="115"/>
      <c r="T74" s="276"/>
      <c r="U74" s="278" t="s">
        <v>120</v>
      </c>
      <c r="V74" s="115">
        <v>1745</v>
      </c>
      <c r="W74" s="114">
        <v>43096</v>
      </c>
      <c r="X74" s="115" t="s">
        <v>117</v>
      </c>
      <c r="Y74" s="221">
        <v>43109</v>
      </c>
      <c r="Z74" s="115" t="s">
        <v>118</v>
      </c>
      <c r="AA74" s="221">
        <v>43133</v>
      </c>
      <c r="AB74" s="22">
        <v>0</v>
      </c>
      <c r="AC74" s="170">
        <v>0</v>
      </c>
      <c r="AD74" s="208">
        <v>6637</v>
      </c>
      <c r="AE74" s="170">
        <v>102541.65</v>
      </c>
      <c r="AF74" s="208"/>
      <c r="AG74" s="170"/>
      <c r="AH74" s="208"/>
      <c r="AI74" s="170"/>
      <c r="AJ74" s="233"/>
      <c r="AK74" s="170">
        <f t="shared" si="6"/>
        <v>102541.65</v>
      </c>
      <c r="AL74" s="270">
        <f>180+290</f>
        <v>470</v>
      </c>
      <c r="AM74" s="170">
        <f>AL74*AR74</f>
        <v>7261.5</v>
      </c>
      <c r="AN74" s="270">
        <v>6167</v>
      </c>
      <c r="AO74" s="170">
        <f t="shared" si="2"/>
        <v>95280.15</v>
      </c>
      <c r="AP74" s="233"/>
      <c r="AQ74" s="233"/>
      <c r="AR74" s="170">
        <v>15.45</v>
      </c>
      <c r="AS74" s="170">
        <f t="shared" si="3"/>
        <v>0</v>
      </c>
      <c r="AT74" s="233">
        <f>5867-550-40-4737-460-30-50</f>
        <v>0</v>
      </c>
      <c r="AU74" s="386">
        <f t="shared" si="4"/>
        <v>0</v>
      </c>
      <c r="AV74" s="233">
        <f t="shared" si="5"/>
        <v>0</v>
      </c>
    </row>
    <row r="75" spans="1:48" s="62" customFormat="1" ht="31.5">
      <c r="A75" s="59"/>
      <c r="B75" s="60"/>
      <c r="C75" s="60"/>
      <c r="D75" s="22"/>
      <c r="E75" s="79" t="s">
        <v>24</v>
      </c>
      <c r="F75" s="51" t="s">
        <v>57</v>
      </c>
      <c r="G75" s="275" t="s">
        <v>121</v>
      </c>
      <c r="H75" s="115" t="s">
        <v>91</v>
      </c>
      <c r="I75" s="115" t="s">
        <v>91</v>
      </c>
      <c r="J75" s="115"/>
      <c r="K75" s="115"/>
      <c r="L75" s="276"/>
      <c r="M75" s="277">
        <f t="shared" ref="M75:M76" si="7">J75*K75</f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173</v>
      </c>
      <c r="V75" s="115">
        <v>834</v>
      </c>
      <c r="W75" s="114">
        <v>43222</v>
      </c>
      <c r="X75" s="115" t="s">
        <v>162</v>
      </c>
      <c r="Y75" s="221">
        <v>43242</v>
      </c>
      <c r="Z75" s="115"/>
      <c r="AA75" s="115"/>
      <c r="AB75" s="22">
        <v>0</v>
      </c>
      <c r="AC75" s="170">
        <v>0</v>
      </c>
      <c r="AD75" s="208">
        <v>144</v>
      </c>
      <c r="AE75" s="170">
        <v>2142.7199999999998</v>
      </c>
      <c r="AF75" s="208"/>
      <c r="AG75" s="170"/>
      <c r="AH75" s="208"/>
      <c r="AI75" s="170"/>
      <c r="AJ75" s="233"/>
      <c r="AK75" s="170">
        <f t="shared" si="6"/>
        <v>2142.7199999999998</v>
      </c>
      <c r="AL75" s="270">
        <v>0</v>
      </c>
      <c r="AM75" s="170">
        <v>0</v>
      </c>
      <c r="AN75" s="270">
        <v>144</v>
      </c>
      <c r="AO75" s="170">
        <f t="shared" si="2"/>
        <v>2142.7199999999998</v>
      </c>
      <c r="AP75" s="233"/>
      <c r="AQ75" s="233"/>
      <c r="AR75" s="170">
        <v>14.88</v>
      </c>
      <c r="AS75" s="170">
        <f t="shared" si="3"/>
        <v>0</v>
      </c>
      <c r="AT75" s="233">
        <f>144-144</f>
        <v>0</v>
      </c>
      <c r="AU75" s="386">
        <f t="shared" si="4"/>
        <v>0</v>
      </c>
      <c r="AV75" s="233">
        <f t="shared" si="5"/>
        <v>0</v>
      </c>
    </row>
    <row r="76" spans="1:48" s="62" customFormat="1" ht="31.5">
      <c r="A76" s="59"/>
      <c r="B76" s="60"/>
      <c r="C76" s="60"/>
      <c r="D76" s="22"/>
      <c r="E76" s="79" t="s">
        <v>24</v>
      </c>
      <c r="F76" s="51" t="s">
        <v>57</v>
      </c>
      <c r="G76" s="275" t="s">
        <v>121</v>
      </c>
      <c r="H76" s="115" t="s">
        <v>91</v>
      </c>
      <c r="I76" s="115" t="s">
        <v>91</v>
      </c>
      <c r="J76" s="115"/>
      <c r="K76" s="115"/>
      <c r="L76" s="276"/>
      <c r="M76" s="277">
        <f t="shared" si="7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183</v>
      </c>
      <c r="V76" s="115">
        <v>1418</v>
      </c>
      <c r="W76" s="114">
        <v>43312</v>
      </c>
      <c r="X76" s="115" t="s">
        <v>184</v>
      </c>
      <c r="Y76" s="221">
        <v>43332</v>
      </c>
      <c r="Z76" s="115" t="s">
        <v>185</v>
      </c>
      <c r="AA76" s="221">
        <v>43320</v>
      </c>
      <c r="AB76" s="22">
        <v>0</v>
      </c>
      <c r="AC76" s="170">
        <v>0</v>
      </c>
      <c r="AD76" s="208">
        <v>76</v>
      </c>
      <c r="AE76" s="170">
        <v>1130.8800000000001</v>
      </c>
      <c r="AF76" s="208"/>
      <c r="AG76" s="170"/>
      <c r="AH76" s="208"/>
      <c r="AI76" s="170"/>
      <c r="AJ76" s="233"/>
      <c r="AK76" s="170">
        <f t="shared" si="6"/>
        <v>1130.8800000000001</v>
      </c>
      <c r="AL76" s="270">
        <v>0</v>
      </c>
      <c r="AM76" s="170">
        <v>0</v>
      </c>
      <c r="AN76" s="270">
        <v>76</v>
      </c>
      <c r="AO76" s="170">
        <v>0</v>
      </c>
      <c r="AP76" s="233"/>
      <c r="AQ76" s="233"/>
      <c r="AR76" s="170">
        <v>14.88</v>
      </c>
      <c r="AS76" s="170">
        <f t="shared" si="3"/>
        <v>0</v>
      </c>
      <c r="AT76" s="233">
        <f>76-76</f>
        <v>0</v>
      </c>
      <c r="AU76" s="386">
        <f t="shared" si="4"/>
        <v>0</v>
      </c>
      <c r="AV76" s="233">
        <f t="shared" si="5"/>
        <v>0</v>
      </c>
    </row>
    <row r="77" spans="1:48" s="62" customFormat="1" ht="31.5">
      <c r="A77" s="59"/>
      <c r="B77" s="60"/>
      <c r="C77" s="60"/>
      <c r="D77" s="22"/>
      <c r="E77" s="79"/>
      <c r="F77" s="51" t="s">
        <v>57</v>
      </c>
      <c r="G77" s="275" t="s">
        <v>121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78"/>
      <c r="V77" s="115"/>
      <c r="W77" s="114"/>
      <c r="X77" s="115"/>
      <c r="Y77" s="221"/>
      <c r="Z77" s="115"/>
      <c r="AA77" s="221"/>
      <c r="AB77" s="22"/>
      <c r="AC77" s="170"/>
      <c r="AD77" s="208"/>
      <c r="AE77" s="170"/>
      <c r="AF77" s="208"/>
      <c r="AG77" s="170"/>
      <c r="AH77" s="208"/>
      <c r="AI77" s="170"/>
      <c r="AJ77" s="233"/>
      <c r="AK77" s="170"/>
      <c r="AL77" s="270"/>
      <c r="AM77" s="170"/>
      <c r="AN77" s="270"/>
      <c r="AO77" s="170"/>
      <c r="AP77" s="233"/>
      <c r="AQ77" s="233"/>
      <c r="AR77" s="170"/>
      <c r="AS77" s="170"/>
      <c r="AT77" s="233">
        <f>45-45</f>
        <v>0</v>
      </c>
      <c r="AU77" s="386"/>
      <c r="AV77" s="233">
        <f t="shared" si="5"/>
        <v>0</v>
      </c>
    </row>
    <row r="78" spans="1:48" s="62" customFormat="1" ht="31.5">
      <c r="A78" s="59"/>
      <c r="B78" s="60"/>
      <c r="C78" s="60"/>
      <c r="D78" s="22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766</v>
      </c>
      <c r="AU78" s="228"/>
      <c r="AV78" s="279">
        <f t="shared" si="5"/>
        <v>766</v>
      </c>
    </row>
    <row r="79" spans="1:48" s="62" customFormat="1" ht="26.25" customHeight="1">
      <c r="A79" s="59"/>
      <c r="B79" s="60"/>
      <c r="C79" s="60"/>
      <c r="D79" s="22"/>
      <c r="E79" s="79" t="s">
        <v>24</v>
      </c>
      <c r="F79" s="178" t="s">
        <v>58</v>
      </c>
      <c r="G79" s="222" t="s">
        <v>123</v>
      </c>
      <c r="H79" s="193" t="s">
        <v>91</v>
      </c>
      <c r="I79" s="193" t="s">
        <v>91</v>
      </c>
      <c r="J79" s="193">
        <v>5</v>
      </c>
      <c r="K79" s="193">
        <v>5</v>
      </c>
      <c r="L79" s="243">
        <v>2899.28</v>
      </c>
      <c r="M79" s="242">
        <f>J79*K79</f>
        <v>25</v>
      </c>
      <c r="N79" s="243">
        <f t="shared" si="1"/>
        <v>72482</v>
      </c>
      <c r="O79" s="193">
        <v>4</v>
      </c>
      <c r="P79" s="243">
        <v>8377.6</v>
      </c>
      <c r="Q79" s="193"/>
      <c r="R79" s="243"/>
      <c r="S79" s="193"/>
      <c r="T79" s="243"/>
      <c r="U79" s="203" t="s">
        <v>122</v>
      </c>
      <c r="V79" s="115">
        <v>1745</v>
      </c>
      <c r="W79" s="114">
        <v>43096</v>
      </c>
      <c r="X79" s="193" t="s">
        <v>117</v>
      </c>
      <c r="Y79" s="200">
        <v>43109</v>
      </c>
      <c r="Z79" s="193" t="s">
        <v>118</v>
      </c>
      <c r="AA79" s="200">
        <v>43133</v>
      </c>
      <c r="AB79" s="22">
        <v>0</v>
      </c>
      <c r="AC79" s="170">
        <v>0</v>
      </c>
      <c r="AD79" s="209">
        <v>4</v>
      </c>
      <c r="AE79" s="194">
        <v>9062.24</v>
      </c>
      <c r="AF79" s="209"/>
      <c r="AG79" s="194"/>
      <c r="AH79" s="209"/>
      <c r="AI79" s="194"/>
      <c r="AJ79" s="232"/>
      <c r="AK79" s="170">
        <f t="shared" si="6"/>
        <v>9062.24</v>
      </c>
      <c r="AL79" s="272">
        <v>0</v>
      </c>
      <c r="AM79" s="212">
        <v>0</v>
      </c>
      <c r="AN79" s="269">
        <v>4</v>
      </c>
      <c r="AO79" s="217">
        <f t="shared" ref="AO79:AO84" si="8">AC79+AK79-AM79</f>
        <v>9062.24</v>
      </c>
      <c r="AP79" s="232"/>
      <c r="AQ79" s="229"/>
      <c r="AR79" s="212">
        <v>2265.56</v>
      </c>
      <c r="AS79" s="212">
        <f t="shared" si="3"/>
        <v>0</v>
      </c>
      <c r="AT79" s="227">
        <v>4</v>
      </c>
      <c r="AU79" s="228">
        <f t="shared" si="4"/>
        <v>9062.24</v>
      </c>
      <c r="AV79" s="279">
        <f t="shared" si="5"/>
        <v>4</v>
      </c>
    </row>
    <row r="80" spans="1:48" s="62" customFormat="1" ht="26.25" customHeight="1">
      <c r="A80" s="59"/>
      <c r="B80" s="60"/>
      <c r="C80" s="60"/>
      <c r="D80" s="22"/>
      <c r="E80" s="79" t="s">
        <v>24</v>
      </c>
      <c r="F80" s="178" t="s">
        <v>58</v>
      </c>
      <c r="G80" s="222" t="s">
        <v>123</v>
      </c>
      <c r="H80" s="193" t="s">
        <v>91</v>
      </c>
      <c r="I80" s="193" t="s">
        <v>91</v>
      </c>
      <c r="J80" s="193"/>
      <c r="K80" s="193"/>
      <c r="L80" s="243"/>
      <c r="M80" s="242">
        <f t="shared" ref="M80:M84" si="9">J80*K80</f>
        <v>0</v>
      </c>
      <c r="N80" s="243">
        <f>L80*M80</f>
        <v>0</v>
      </c>
      <c r="O80" s="193"/>
      <c r="P80" s="243"/>
      <c r="Q80" s="193"/>
      <c r="R80" s="243"/>
      <c r="S80" s="193"/>
      <c r="T80" s="243"/>
      <c r="U80" s="203" t="s">
        <v>170</v>
      </c>
      <c r="V80" s="115">
        <v>834</v>
      </c>
      <c r="W80" s="114">
        <v>43222</v>
      </c>
      <c r="X80" s="193" t="s">
        <v>162</v>
      </c>
      <c r="Y80" s="200">
        <v>43242</v>
      </c>
      <c r="Z80" s="193"/>
      <c r="AA80" s="193"/>
      <c r="AB80" s="22">
        <v>0</v>
      </c>
      <c r="AC80" s="170">
        <v>0</v>
      </c>
      <c r="AD80" s="209">
        <v>2</v>
      </c>
      <c r="AE80" s="194">
        <v>4531.12</v>
      </c>
      <c r="AF80" s="209"/>
      <c r="AG80" s="194"/>
      <c r="AH80" s="209"/>
      <c r="AI80" s="194"/>
      <c r="AJ80" s="232"/>
      <c r="AK80" s="170">
        <f t="shared" si="6"/>
        <v>4531.12</v>
      </c>
      <c r="AL80" s="272">
        <v>0</v>
      </c>
      <c r="AM80" s="212">
        <v>0</v>
      </c>
      <c r="AN80" s="269">
        <v>2</v>
      </c>
      <c r="AO80" s="217">
        <f t="shared" si="8"/>
        <v>4531.12</v>
      </c>
      <c r="AP80" s="232"/>
      <c r="AQ80" s="229"/>
      <c r="AR80" s="212">
        <v>2265.56</v>
      </c>
      <c r="AS80" s="212">
        <f t="shared" si="3"/>
        <v>0</v>
      </c>
      <c r="AT80" s="227">
        <v>2</v>
      </c>
      <c r="AU80" s="228">
        <f t="shared" si="4"/>
        <v>4531.12</v>
      </c>
      <c r="AV80" s="279">
        <f t="shared" si="5"/>
        <v>2</v>
      </c>
    </row>
    <row r="81" spans="1:48" s="62" customFormat="1" ht="26.25" customHeight="1">
      <c r="A81" s="59"/>
      <c r="B81" s="60"/>
      <c r="C81" s="60"/>
      <c r="D81" s="22"/>
      <c r="E81" s="79" t="s">
        <v>24</v>
      </c>
      <c r="F81" s="161" t="s">
        <v>61</v>
      </c>
      <c r="G81" s="222" t="s">
        <v>127</v>
      </c>
      <c r="H81" s="193" t="s">
        <v>91</v>
      </c>
      <c r="I81" s="193" t="s">
        <v>91</v>
      </c>
      <c r="J81" s="193">
        <v>48</v>
      </c>
      <c r="K81" s="193">
        <v>3</v>
      </c>
      <c r="L81" s="243">
        <v>71.97</v>
      </c>
      <c r="M81" s="242">
        <f t="shared" si="9"/>
        <v>144</v>
      </c>
      <c r="N81" s="243">
        <f t="shared" ref="N81:N84" si="10">L81*M81</f>
        <v>10363.68</v>
      </c>
      <c r="O81" s="193">
        <v>14</v>
      </c>
      <c r="P81" s="243">
        <v>714.98</v>
      </c>
      <c r="Q81" s="193"/>
      <c r="R81" s="243"/>
      <c r="S81" s="193"/>
      <c r="T81" s="243"/>
      <c r="U81" s="203" t="s">
        <v>128</v>
      </c>
      <c r="V81" s="115">
        <v>135</v>
      </c>
      <c r="W81" s="114">
        <v>42761</v>
      </c>
      <c r="X81" s="193" t="s">
        <v>126</v>
      </c>
      <c r="Y81" s="200">
        <v>43130</v>
      </c>
      <c r="Z81" s="193"/>
      <c r="AA81" s="193"/>
      <c r="AB81" s="22">
        <v>0</v>
      </c>
      <c r="AC81" s="170">
        <v>0</v>
      </c>
      <c r="AD81" s="209">
        <v>14</v>
      </c>
      <c r="AE81" s="194">
        <v>774.48</v>
      </c>
      <c r="AF81" s="209"/>
      <c r="AG81" s="194"/>
      <c r="AH81" s="209"/>
      <c r="AI81" s="194"/>
      <c r="AJ81" s="232"/>
      <c r="AK81" s="170">
        <f t="shared" si="6"/>
        <v>774.48</v>
      </c>
      <c r="AL81" s="272">
        <v>0</v>
      </c>
      <c r="AM81" s="212">
        <v>0</v>
      </c>
      <c r="AN81" s="269">
        <v>14</v>
      </c>
      <c r="AO81" s="217">
        <f t="shared" si="8"/>
        <v>774.48</v>
      </c>
      <c r="AP81" s="232"/>
      <c r="AQ81" s="229"/>
      <c r="AR81" s="212">
        <v>55.32</v>
      </c>
      <c r="AS81" s="212">
        <f t="shared" si="3"/>
        <v>0</v>
      </c>
      <c r="AT81" s="227">
        <f>14-2</f>
        <v>12</v>
      </c>
      <c r="AU81" s="228">
        <f t="shared" si="4"/>
        <v>663.84</v>
      </c>
      <c r="AV81" s="279">
        <f t="shared" si="5"/>
        <v>12</v>
      </c>
    </row>
    <row r="82" spans="1:48" s="62" customFormat="1" ht="26.25" customHeight="1">
      <c r="A82" s="59"/>
      <c r="B82" s="60"/>
      <c r="C82" s="60"/>
      <c r="D82" s="22"/>
      <c r="E82" s="79" t="s">
        <v>24</v>
      </c>
      <c r="F82" s="161" t="s">
        <v>61</v>
      </c>
      <c r="G82" s="222" t="s">
        <v>127</v>
      </c>
      <c r="H82" s="193" t="s">
        <v>91</v>
      </c>
      <c r="I82" s="193" t="s">
        <v>91</v>
      </c>
      <c r="J82" s="193"/>
      <c r="K82" s="193"/>
      <c r="L82" s="243"/>
      <c r="M82" s="242">
        <f t="shared" si="9"/>
        <v>0</v>
      </c>
      <c r="N82" s="243">
        <f t="shared" si="10"/>
        <v>0</v>
      </c>
      <c r="O82" s="193"/>
      <c r="P82" s="243"/>
      <c r="Q82" s="193"/>
      <c r="R82" s="243"/>
      <c r="S82" s="193"/>
      <c r="T82" s="243"/>
      <c r="U82" s="203" t="s">
        <v>171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26</v>
      </c>
      <c r="AE82" s="194">
        <v>1438.32</v>
      </c>
      <c r="AF82" s="209"/>
      <c r="AG82" s="194"/>
      <c r="AH82" s="209"/>
      <c r="AI82" s="194"/>
      <c r="AJ82" s="232"/>
      <c r="AK82" s="170">
        <f t="shared" si="6"/>
        <v>1438.32</v>
      </c>
      <c r="AL82" s="272">
        <v>0</v>
      </c>
      <c r="AM82" s="212">
        <v>0</v>
      </c>
      <c r="AN82" s="269">
        <v>26</v>
      </c>
      <c r="AO82" s="217">
        <f t="shared" si="8"/>
        <v>1438.32</v>
      </c>
      <c r="AP82" s="232"/>
      <c r="AQ82" s="229"/>
      <c r="AR82" s="212">
        <v>55.32</v>
      </c>
      <c r="AS82" s="212">
        <f t="shared" ref="AS82:AS84" si="11">AQ82*AR82</f>
        <v>0</v>
      </c>
      <c r="AT82" s="227">
        <v>26</v>
      </c>
      <c r="AU82" s="228">
        <f t="shared" ref="AU82:AU84" si="12">AT82*AR82</f>
        <v>1438.32</v>
      </c>
      <c r="AV82" s="279">
        <f t="shared" ref="AV82:AV84" si="13">AT82</f>
        <v>26</v>
      </c>
    </row>
    <row r="83" spans="1:48" s="62" customFormat="1" ht="26.25" customHeight="1">
      <c r="A83" s="59"/>
      <c r="B83" s="60"/>
      <c r="C83" s="60"/>
      <c r="D83" s="22"/>
      <c r="E83" s="79" t="s">
        <v>24</v>
      </c>
      <c r="F83" s="179" t="s">
        <v>62</v>
      </c>
      <c r="G83" s="222" t="s">
        <v>129</v>
      </c>
      <c r="H83" s="193" t="s">
        <v>91</v>
      </c>
      <c r="I83" s="193" t="s">
        <v>91</v>
      </c>
      <c r="J83" s="193">
        <v>24</v>
      </c>
      <c r="K83" s="193">
        <v>4</v>
      </c>
      <c r="L83" s="243">
        <v>984.1</v>
      </c>
      <c r="M83" s="242">
        <f t="shared" si="9"/>
        <v>96</v>
      </c>
      <c r="N83" s="243">
        <f t="shared" si="10"/>
        <v>94473.600000000006</v>
      </c>
      <c r="O83" s="193">
        <v>6</v>
      </c>
      <c r="P83" s="243">
        <v>4721.3999999999996</v>
      </c>
      <c r="Q83" s="193"/>
      <c r="R83" s="243"/>
      <c r="S83" s="193"/>
      <c r="T83" s="243"/>
      <c r="U83" s="203" t="s">
        <v>130</v>
      </c>
      <c r="V83" s="115">
        <v>135</v>
      </c>
      <c r="W83" s="114">
        <v>42761</v>
      </c>
      <c r="X83" s="193" t="s">
        <v>126</v>
      </c>
      <c r="Y83" s="200">
        <v>43130</v>
      </c>
      <c r="Z83" s="193"/>
      <c r="AA83" s="193"/>
      <c r="AB83" s="22">
        <v>0</v>
      </c>
      <c r="AC83" s="170">
        <v>0</v>
      </c>
      <c r="AD83" s="209">
        <v>6</v>
      </c>
      <c r="AE83" s="194">
        <v>4549.08</v>
      </c>
      <c r="AF83" s="209"/>
      <c r="AG83" s="194"/>
      <c r="AH83" s="209"/>
      <c r="AI83" s="194"/>
      <c r="AJ83" s="232"/>
      <c r="AK83" s="170">
        <f t="shared" ref="AK83:AK84" si="14">AE83+AG83+AI83</f>
        <v>4549.08</v>
      </c>
      <c r="AL83" s="272">
        <v>0</v>
      </c>
      <c r="AM83" s="212">
        <v>0</v>
      </c>
      <c r="AN83" s="269">
        <v>6</v>
      </c>
      <c r="AO83" s="217">
        <f t="shared" si="8"/>
        <v>4549.08</v>
      </c>
      <c r="AP83" s="232"/>
      <c r="AQ83" s="229"/>
      <c r="AR83" s="212">
        <v>758.18</v>
      </c>
      <c r="AS83" s="212">
        <f t="shared" si="11"/>
        <v>0</v>
      </c>
      <c r="AT83" s="227">
        <v>6</v>
      </c>
      <c r="AU83" s="228">
        <f t="shared" si="12"/>
        <v>4549.08</v>
      </c>
      <c r="AV83" s="279">
        <f t="shared" si="13"/>
        <v>6</v>
      </c>
    </row>
    <row r="84" spans="1:48" s="62" customFormat="1" ht="26.25" customHeight="1">
      <c r="A84" s="59"/>
      <c r="B84" s="60"/>
      <c r="C84" s="60"/>
      <c r="D84" s="22"/>
      <c r="E84" s="79" t="s">
        <v>24</v>
      </c>
      <c r="F84" s="179" t="s">
        <v>62</v>
      </c>
      <c r="G84" s="222" t="s">
        <v>129</v>
      </c>
      <c r="H84" s="193" t="s">
        <v>91</v>
      </c>
      <c r="I84" s="193" t="s">
        <v>91</v>
      </c>
      <c r="J84" s="193"/>
      <c r="K84" s="193"/>
      <c r="L84" s="243"/>
      <c r="M84" s="242">
        <f t="shared" si="9"/>
        <v>0</v>
      </c>
      <c r="N84" s="243">
        <f t="shared" si="10"/>
        <v>0</v>
      </c>
      <c r="O84" s="193"/>
      <c r="P84" s="243"/>
      <c r="Q84" s="193"/>
      <c r="R84" s="243"/>
      <c r="S84" s="193"/>
      <c r="T84" s="243"/>
      <c r="U84" s="203" t="s">
        <v>172</v>
      </c>
      <c r="V84" s="115">
        <v>834</v>
      </c>
      <c r="W84" s="114">
        <v>43222</v>
      </c>
      <c r="X84" s="193" t="s">
        <v>162</v>
      </c>
      <c r="Y84" s="200">
        <v>43242</v>
      </c>
      <c r="Z84" s="193"/>
      <c r="AA84" s="193"/>
      <c r="AB84" s="22">
        <v>0</v>
      </c>
      <c r="AC84" s="170">
        <v>0</v>
      </c>
      <c r="AD84" s="209">
        <v>10</v>
      </c>
      <c r="AE84" s="194">
        <v>7581.8</v>
      </c>
      <c r="AF84" s="209"/>
      <c r="AG84" s="194"/>
      <c r="AH84" s="209"/>
      <c r="AI84" s="194"/>
      <c r="AJ84" s="232"/>
      <c r="AK84" s="170">
        <f t="shared" si="14"/>
        <v>7581.8</v>
      </c>
      <c r="AL84" s="272">
        <v>0</v>
      </c>
      <c r="AM84" s="212">
        <v>0</v>
      </c>
      <c r="AN84" s="269">
        <v>10</v>
      </c>
      <c r="AO84" s="217">
        <f t="shared" si="8"/>
        <v>7581.8</v>
      </c>
      <c r="AP84" s="232"/>
      <c r="AQ84" s="229"/>
      <c r="AR84" s="212">
        <v>758.18</v>
      </c>
      <c r="AS84" s="212">
        <f t="shared" si="11"/>
        <v>0</v>
      </c>
      <c r="AT84" s="227">
        <v>10</v>
      </c>
      <c r="AU84" s="228">
        <f t="shared" si="12"/>
        <v>7581.7999999999993</v>
      </c>
      <c r="AV84" s="279">
        <f t="shared" si="13"/>
        <v>10</v>
      </c>
    </row>
    <row r="85" spans="1:48" s="62" customFormat="1" ht="26.25" customHeight="1">
      <c r="A85" s="59"/>
      <c r="B85" s="60"/>
      <c r="C85" s="60"/>
      <c r="D85" s="22"/>
      <c r="E85" s="79"/>
      <c r="F85" s="179" t="s">
        <v>62</v>
      </c>
      <c r="G85" s="222" t="s">
        <v>129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/>
      <c r="V85" s="115"/>
      <c r="W85" s="114"/>
      <c r="X85" s="193"/>
      <c r="Y85" s="200"/>
      <c r="Z85" s="193"/>
      <c r="AA85" s="193"/>
      <c r="AB85" s="22"/>
      <c r="AC85" s="170"/>
      <c r="AD85" s="209"/>
      <c r="AE85" s="194"/>
      <c r="AF85" s="209"/>
      <c r="AG85" s="194"/>
      <c r="AH85" s="209"/>
      <c r="AI85" s="194"/>
      <c r="AJ85" s="232"/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4</v>
      </c>
      <c r="AU85" s="228"/>
      <c r="AV85" s="279">
        <v>4</v>
      </c>
    </row>
    <row r="86" spans="1:48" s="251" customFormat="1" ht="21" customHeight="1">
      <c r="A86" s="20" t="s">
        <v>11</v>
      </c>
      <c r="B86" s="20"/>
      <c r="C86" s="20"/>
      <c r="D86" s="695" t="s">
        <v>34</v>
      </c>
      <c r="E86" s="696"/>
      <c r="F86" s="697"/>
      <c r="G86" s="246"/>
      <c r="H86" s="246"/>
      <c r="I86" s="246"/>
      <c r="J86" s="246"/>
      <c r="K86" s="247">
        <f>SUM(K17:K85)</f>
        <v>28</v>
      </c>
      <c r="L86" s="248"/>
      <c r="M86" s="246"/>
      <c r="N86" s="249">
        <f>SUM(N17:N85)</f>
        <v>2293381.04</v>
      </c>
      <c r="O86" s="248"/>
      <c r="P86" s="249">
        <f>SUM(P17:P85)</f>
        <v>1456893.27</v>
      </c>
      <c r="Q86" s="248"/>
      <c r="R86" s="249">
        <f>SUM(R17:R85)</f>
        <v>1125245.6000000001</v>
      </c>
      <c r="S86" s="248"/>
      <c r="T86" s="249">
        <f>SUM(T17:T85)</f>
        <v>493933.38</v>
      </c>
      <c r="U86" s="291" t="s">
        <v>156</v>
      </c>
      <c r="V86" s="291" t="s">
        <v>156</v>
      </c>
      <c r="W86" s="291" t="s">
        <v>156</v>
      </c>
      <c r="X86" s="250" t="s">
        <v>156</v>
      </c>
      <c r="Y86" s="250" t="s">
        <v>156</v>
      </c>
      <c r="Z86" s="250" t="s">
        <v>156</v>
      </c>
      <c r="AA86" s="250" t="s">
        <v>156</v>
      </c>
      <c r="AB86" s="176">
        <f>SUM(AB17:AB34)</f>
        <v>350</v>
      </c>
      <c r="AC86" s="171">
        <f>SUM(AC17:AC61)</f>
        <v>190344.16</v>
      </c>
      <c r="AD86" s="210">
        <f t="shared" ref="AD86:AQ86" si="15">SUM(AD17:AD85)</f>
        <v>12308</v>
      </c>
      <c r="AE86" s="195">
        <f t="shared" si="15"/>
        <v>1327130.1099999999</v>
      </c>
      <c r="AF86" s="210">
        <f t="shared" si="15"/>
        <v>0</v>
      </c>
      <c r="AG86" s="195">
        <f t="shared" si="15"/>
        <v>0</v>
      </c>
      <c r="AH86" s="210">
        <f t="shared" si="15"/>
        <v>0</v>
      </c>
      <c r="AI86" s="195">
        <f t="shared" si="15"/>
        <v>0</v>
      </c>
      <c r="AJ86" s="210">
        <f t="shared" si="15"/>
        <v>1796</v>
      </c>
      <c r="AK86" s="175">
        <f t="shared" si="15"/>
        <v>1327130.1099999999</v>
      </c>
      <c r="AL86" s="213">
        <f t="shared" si="15"/>
        <v>1317</v>
      </c>
      <c r="AM86" s="214">
        <f t="shared" si="15"/>
        <v>239268.15000000002</v>
      </c>
      <c r="AN86" s="218">
        <f t="shared" si="15"/>
        <v>11341</v>
      </c>
      <c r="AO86" s="219">
        <f t="shared" si="15"/>
        <v>1260482.31</v>
      </c>
      <c r="AP86" s="286">
        <f t="shared" si="15"/>
        <v>0</v>
      </c>
      <c r="AQ86" s="287">
        <f t="shared" si="15"/>
        <v>0</v>
      </c>
      <c r="AR86" s="226" t="s">
        <v>156</v>
      </c>
      <c r="AS86" s="226">
        <f>SUM(AS17:AS85)</f>
        <v>0</v>
      </c>
      <c r="AT86" s="227">
        <f>SUM(AT17:AT85)</f>
        <v>5414</v>
      </c>
      <c r="AU86" s="228">
        <f>SUM(AU17:AU85)</f>
        <v>779473.28999999992</v>
      </c>
      <c r="AV86" s="236">
        <f>SUM(AV17:AV85)</f>
        <v>5414</v>
      </c>
    </row>
    <row r="87" spans="1:48" s="336" customFormat="1" ht="21" customHeight="1">
      <c r="A87" s="20"/>
      <c r="B87" s="20"/>
      <c r="C87" s="20"/>
      <c r="D87" s="294"/>
      <c r="E87" s="294"/>
      <c r="F87" s="294"/>
      <c r="G87" s="330"/>
      <c r="H87" s="330"/>
      <c r="I87" s="330"/>
      <c r="J87" s="330"/>
      <c r="K87" s="331"/>
      <c r="L87" s="332"/>
      <c r="M87" s="330"/>
      <c r="N87" s="333"/>
      <c r="O87" s="332"/>
      <c r="P87" s="333"/>
      <c r="Q87" s="332"/>
      <c r="R87" s="333"/>
      <c r="S87" s="332"/>
      <c r="T87" s="333"/>
      <c r="U87" s="295"/>
      <c r="V87" s="295"/>
      <c r="W87" s="295"/>
      <c r="X87" s="295"/>
      <c r="Y87" s="295"/>
      <c r="Z87" s="295"/>
      <c r="AA87" s="295"/>
      <c r="AB87" s="296"/>
      <c r="AC87" s="297"/>
      <c r="AD87" s="296"/>
      <c r="AE87" s="297"/>
      <c r="AF87" s="296"/>
      <c r="AG87" s="297"/>
      <c r="AH87" s="296"/>
      <c r="AI87" s="297"/>
      <c r="AJ87" s="478"/>
      <c r="AK87" s="299"/>
      <c r="AL87" s="334"/>
      <c r="AM87" s="297"/>
      <c r="AN87" s="296"/>
      <c r="AO87" s="297"/>
      <c r="AP87" s="298"/>
      <c r="AQ87" s="335"/>
      <c r="AR87" s="333"/>
      <c r="AS87" s="333"/>
      <c r="AT87" s="331"/>
      <c r="AU87" s="333"/>
      <c r="AV87" s="331"/>
    </row>
    <row r="88" spans="1:48" s="336" customFormat="1" ht="21" hidden="1" customHeight="1">
      <c r="A88" s="20"/>
      <c r="B88" s="20"/>
      <c r="C88" s="20"/>
      <c r="D88" s="294"/>
      <c r="E88" s="294"/>
      <c r="F88" s="294"/>
      <c r="G88" s="330"/>
      <c r="H88" s="330"/>
      <c r="I88" s="330"/>
      <c r="J88" s="330"/>
      <c r="K88" s="331"/>
      <c r="L88" s="332"/>
      <c r="M88" s="330"/>
      <c r="N88" s="333"/>
      <c r="O88" s="332"/>
      <c r="P88" s="333"/>
      <c r="Q88" s="332"/>
      <c r="R88" s="333"/>
      <c r="S88" s="332"/>
      <c r="T88" s="333"/>
      <c r="U88" s="295"/>
      <c r="V88" s="295"/>
      <c r="W88" s="295"/>
      <c r="X88" s="295"/>
      <c r="Y88" s="295"/>
      <c r="Z88" s="295"/>
      <c r="AA88" s="295"/>
      <c r="AB88" s="296"/>
      <c r="AC88" s="297"/>
      <c r="AD88" s="296"/>
      <c r="AE88" s="297"/>
      <c r="AF88" s="296"/>
      <c r="AG88" s="297"/>
      <c r="AH88" s="296"/>
      <c r="AI88" s="297"/>
      <c r="AJ88" s="478"/>
      <c r="AK88" s="299"/>
      <c r="AL88" s="334"/>
      <c r="AM88" s="297"/>
      <c r="AN88" s="296"/>
      <c r="AO88" s="297"/>
      <c r="AP88" s="298"/>
      <c r="AQ88" s="335"/>
      <c r="AR88" s="333"/>
      <c r="AS88" s="333"/>
      <c r="AT88" s="331"/>
      <c r="AU88" s="333"/>
      <c r="AV88" s="331"/>
    </row>
    <row r="89" spans="1:48" s="292" customFormat="1" ht="20.25" hidden="1">
      <c r="A89" s="301"/>
      <c r="B89" s="301"/>
      <c r="C89" s="301"/>
      <c r="D89" s="302"/>
      <c r="E89" s="301"/>
      <c r="F89" s="303" t="s">
        <v>205</v>
      </c>
      <c r="G89" s="303"/>
      <c r="H89" s="303" t="s">
        <v>208</v>
      </c>
      <c r="I89" s="30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3"/>
      <c r="V89" s="303"/>
      <c r="X89" s="303"/>
      <c r="Y89" s="303"/>
      <c r="Z89" s="303"/>
      <c r="AA89" s="303" t="s">
        <v>208</v>
      </c>
      <c r="AB89" s="303"/>
      <c r="AC89" s="303"/>
      <c r="AD89" s="303"/>
      <c r="AE89" s="303"/>
      <c r="AF89" s="303"/>
      <c r="AG89" s="303"/>
      <c r="AH89" s="303"/>
      <c r="AI89" s="303"/>
      <c r="AJ89" s="479"/>
      <c r="AK89" s="303"/>
      <c r="AL89" s="301"/>
      <c r="AM89" s="303"/>
      <c r="AN89" s="305"/>
      <c r="AO89" s="306"/>
      <c r="AP89" s="307"/>
      <c r="AQ89" s="302"/>
      <c r="AR89" s="308"/>
      <c r="AS89" s="308"/>
      <c r="AT89" s="302"/>
      <c r="AU89" s="302"/>
      <c r="AV89" s="302"/>
    </row>
    <row r="90" spans="1:48" s="292" customFormat="1" ht="20.25" hidden="1">
      <c r="A90" s="301"/>
      <c r="B90" s="301"/>
      <c r="C90" s="301"/>
      <c r="D90" s="302"/>
      <c r="E90" s="301"/>
      <c r="F90" s="303"/>
      <c r="G90" s="303"/>
      <c r="H90" s="303"/>
      <c r="I90" s="303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3"/>
      <c r="V90" s="303"/>
      <c r="X90" s="303"/>
      <c r="Y90" s="303"/>
      <c r="Z90" s="303"/>
      <c r="AA90" s="303"/>
      <c r="AB90" s="303"/>
      <c r="AC90" s="303"/>
      <c r="AD90" s="303"/>
      <c r="AE90" s="303"/>
      <c r="AF90" s="303"/>
      <c r="AG90" s="303"/>
      <c r="AH90" s="303"/>
      <c r="AI90" s="303"/>
      <c r="AJ90" s="479"/>
      <c r="AK90" s="303"/>
      <c r="AL90" s="301"/>
      <c r="AM90" s="303"/>
      <c r="AN90" s="305"/>
      <c r="AO90" s="306"/>
      <c r="AP90" s="307"/>
      <c r="AQ90" s="302"/>
      <c r="AR90" s="308"/>
      <c r="AS90" s="308"/>
      <c r="AT90" s="302"/>
      <c r="AU90" s="302"/>
      <c r="AV90" s="302"/>
    </row>
    <row r="91" spans="1:48" s="292" customFormat="1" ht="20.25" hidden="1">
      <c r="A91" s="301"/>
      <c r="B91" s="301"/>
      <c r="C91" s="301"/>
      <c r="D91" s="302"/>
      <c r="E91" s="301"/>
      <c r="F91" s="303"/>
      <c r="G91" s="303"/>
      <c r="H91" s="303"/>
      <c r="I91" s="303"/>
      <c r="J91" s="304"/>
      <c r="K91" s="304"/>
      <c r="L91" s="304"/>
      <c r="M91" s="304"/>
      <c r="N91" s="304"/>
      <c r="O91" s="304"/>
      <c r="P91" s="304"/>
      <c r="Q91" s="304"/>
      <c r="R91" s="304"/>
      <c r="S91" s="304"/>
      <c r="T91" s="304"/>
      <c r="U91" s="303"/>
      <c r="V91" s="303"/>
      <c r="X91" s="303"/>
      <c r="Y91" s="303"/>
      <c r="Z91" s="303"/>
      <c r="AA91" s="303"/>
      <c r="AB91" s="303"/>
      <c r="AC91" s="303"/>
      <c r="AD91" s="303"/>
      <c r="AE91" s="303"/>
      <c r="AF91" s="303"/>
      <c r="AG91" s="303"/>
      <c r="AH91" s="303"/>
      <c r="AI91" s="303"/>
      <c r="AJ91" s="479"/>
      <c r="AK91" s="303"/>
      <c r="AL91" s="301"/>
      <c r="AM91" s="303"/>
      <c r="AN91" s="305"/>
      <c r="AO91" s="306"/>
      <c r="AP91" s="307"/>
      <c r="AQ91" s="302"/>
      <c r="AR91" s="308"/>
      <c r="AS91" s="308"/>
      <c r="AT91" s="302"/>
      <c r="AU91" s="302"/>
      <c r="AV91" s="302"/>
    </row>
    <row r="92" spans="1:48" s="292" customFormat="1" ht="15" hidden="1" customHeight="1">
      <c r="A92" s="309"/>
      <c r="B92" s="309"/>
      <c r="C92" s="309"/>
      <c r="D92" s="302"/>
      <c r="E92" s="309"/>
      <c r="F92" s="310"/>
      <c r="G92" s="310"/>
      <c r="H92" s="308"/>
      <c r="I92" s="308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8"/>
      <c r="V92" s="311"/>
      <c r="AA92" s="311"/>
      <c r="AJ92" s="480"/>
      <c r="AK92" s="312"/>
      <c r="AL92" s="309"/>
      <c r="AM92" s="31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8" s="292" customFormat="1" ht="18" hidden="1" customHeight="1">
      <c r="A93" s="314" t="s">
        <v>12</v>
      </c>
      <c r="B93" s="314"/>
      <c r="C93" s="314"/>
      <c r="D93" s="315"/>
      <c r="E93" s="314"/>
      <c r="F93" s="316" t="s">
        <v>206</v>
      </c>
      <c r="G93" s="316"/>
      <c r="H93" s="736" t="s">
        <v>209</v>
      </c>
      <c r="I93" s="736"/>
      <c r="J93" s="736"/>
      <c r="K93" s="317"/>
      <c r="L93" s="317"/>
      <c r="M93" s="317"/>
      <c r="N93" s="317"/>
      <c r="O93" s="317"/>
      <c r="P93" s="317"/>
      <c r="Q93" s="317"/>
      <c r="R93" s="317"/>
      <c r="S93" s="317"/>
      <c r="T93" s="317"/>
      <c r="U93" s="318"/>
      <c r="V93" s="319"/>
      <c r="X93" s="303"/>
      <c r="Y93" s="316"/>
      <c r="Z93" s="316"/>
      <c r="AA93" s="320" t="s">
        <v>209</v>
      </c>
      <c r="AB93" s="316"/>
      <c r="AC93" s="316"/>
      <c r="AD93" s="316"/>
      <c r="AE93" s="316"/>
      <c r="AF93" s="316"/>
      <c r="AG93" s="316"/>
      <c r="AH93" s="316"/>
      <c r="AI93" s="316"/>
      <c r="AJ93" s="481"/>
      <c r="AK93" s="316"/>
      <c r="AL93" s="314"/>
      <c r="AM93" s="316"/>
      <c r="AN93" s="314"/>
      <c r="AO93" s="321"/>
      <c r="AP93" s="307"/>
      <c r="AQ93" s="302"/>
      <c r="AR93" s="308"/>
      <c r="AS93" s="308"/>
      <c r="AT93" s="302"/>
      <c r="AU93" s="302"/>
      <c r="AV93" s="302"/>
    </row>
    <row r="94" spans="1:48" s="62" customFormat="1" ht="18.75" hidden="1">
      <c r="A94" s="11"/>
      <c r="B94" s="11"/>
      <c r="C94" s="11"/>
      <c r="D94" s="255"/>
      <c r="E94" s="11"/>
      <c r="F94" s="322"/>
      <c r="G94" s="322"/>
      <c r="H94" s="322"/>
      <c r="I94" s="322"/>
      <c r="J94" s="323"/>
      <c r="K94" s="323"/>
      <c r="L94" s="323"/>
      <c r="M94" s="323"/>
      <c r="N94" s="323"/>
      <c r="O94" s="323"/>
      <c r="P94" s="323"/>
      <c r="Q94" s="323"/>
      <c r="R94" s="323"/>
      <c r="S94" s="323"/>
      <c r="T94" s="323"/>
      <c r="U94" s="322"/>
      <c r="V94" s="322"/>
      <c r="W94" s="322"/>
      <c r="X94" s="322"/>
      <c r="Y94" s="322"/>
      <c r="Z94" s="322"/>
      <c r="AA94" s="322"/>
      <c r="AB94" s="322"/>
      <c r="AC94" s="322"/>
      <c r="AD94" s="322"/>
      <c r="AE94" s="322"/>
      <c r="AF94" s="322"/>
      <c r="AG94" s="322"/>
      <c r="AH94" s="322"/>
      <c r="AI94" s="322"/>
      <c r="AJ94" s="482"/>
      <c r="AK94" s="322"/>
      <c r="AL94" s="324"/>
      <c r="AM94" s="322"/>
      <c r="AN94" s="281"/>
      <c r="AO94" s="325"/>
      <c r="AP94" s="326"/>
      <c r="AQ94" s="496"/>
      <c r="AR94" s="255"/>
      <c r="AS94" s="255"/>
      <c r="AT94" s="496"/>
      <c r="AU94" s="496"/>
      <c r="AV94" s="496"/>
    </row>
    <row r="95" spans="1:48" s="103" customFormat="1" ht="57.75" hidden="1" customHeight="1">
      <c r="A95" s="11"/>
      <c r="B95" s="11"/>
      <c r="C95" s="11"/>
      <c r="D95" s="255"/>
      <c r="E95" s="720" t="s">
        <v>207</v>
      </c>
      <c r="F95" s="720"/>
      <c r="G95" s="327"/>
      <c r="H95" s="328"/>
      <c r="I95" s="328"/>
      <c r="J95" s="328"/>
      <c r="K95" s="328"/>
      <c r="L95" s="328"/>
      <c r="M95" s="328"/>
      <c r="N95" s="328"/>
      <c r="O95" s="328"/>
      <c r="P95" s="328"/>
      <c r="Q95" s="328"/>
      <c r="R95" s="328"/>
      <c r="S95" s="328"/>
      <c r="T95" s="328"/>
      <c r="U95" s="328"/>
      <c r="V95" s="329"/>
      <c r="W95" s="329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483"/>
      <c r="AK95" s="11"/>
      <c r="AL95" s="281"/>
      <c r="AM95" s="11"/>
      <c r="AN95" s="281"/>
      <c r="AP95" s="326"/>
      <c r="AQ95" s="496"/>
      <c r="AR95" s="255"/>
      <c r="AS95" s="255"/>
      <c r="AT95" s="496"/>
      <c r="AU95" s="496"/>
      <c r="AV95" s="496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86:F86"/>
    <mergeCell ref="H93:J93"/>
    <mergeCell ref="U14:U16"/>
    <mergeCell ref="V14:W15"/>
    <mergeCell ref="O15:P15"/>
    <mergeCell ref="Q15:R15"/>
    <mergeCell ref="S15:T15"/>
    <mergeCell ref="E95:F9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60" fitToHeight="2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93"/>
  <sheetViews>
    <sheetView view="pageBreakPreview" topLeftCell="C70" zoomScale="70" zoomScaleSheetLayoutView="70" workbookViewId="0">
      <selection activeCell="AY84" sqref="AY8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02"/>
      <c r="AR1" s="255"/>
      <c r="AS1" s="255"/>
      <c r="AT1" s="502"/>
      <c r="AU1" s="502"/>
      <c r="AV1" s="50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0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0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277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02"/>
      <c r="AR12" s="255"/>
      <c r="AS12" s="255"/>
      <c r="AT12" s="503"/>
      <c r="AU12" s="503"/>
      <c r="AV12" s="50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278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03"/>
      <c r="D16" s="748"/>
      <c r="E16" s="685"/>
      <c r="F16" s="685"/>
      <c r="G16" s="202"/>
      <c r="H16" s="201"/>
      <c r="I16" s="201"/>
      <c r="J16" s="241"/>
      <c r="K16" s="241"/>
      <c r="L16" s="241"/>
      <c r="M16" s="498" t="s">
        <v>77</v>
      </c>
      <c r="N16" s="498" t="s">
        <v>78</v>
      </c>
      <c r="O16" s="498" t="s">
        <v>77</v>
      </c>
      <c r="P16" s="498" t="s">
        <v>78</v>
      </c>
      <c r="Q16" s="498" t="s">
        <v>77</v>
      </c>
      <c r="R16" s="498" t="s">
        <v>78</v>
      </c>
      <c r="S16" s="498" t="s">
        <v>77</v>
      </c>
      <c r="T16" s="498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499" t="s">
        <v>77</v>
      </c>
      <c r="AE16" s="499" t="s">
        <v>78</v>
      </c>
      <c r="AF16" s="205" t="s">
        <v>77</v>
      </c>
      <c r="AG16" s="205" t="s">
        <v>78</v>
      </c>
      <c r="AH16" s="499" t="s">
        <v>77</v>
      </c>
      <c r="AI16" s="499" t="s">
        <v>78</v>
      </c>
      <c r="AJ16" s="207" t="s">
        <v>96</v>
      </c>
      <c r="AK16" s="96" t="s">
        <v>19</v>
      </c>
      <c r="AL16" s="500" t="s">
        <v>96</v>
      </c>
      <c r="AM16" s="500" t="s">
        <v>19</v>
      </c>
      <c r="AN16" s="216" t="s">
        <v>96</v>
      </c>
      <c r="AO16" s="216" t="s">
        <v>19</v>
      </c>
      <c r="AP16" s="207" t="s">
        <v>96</v>
      </c>
      <c r="AQ16" s="500" t="s">
        <v>96</v>
      </c>
      <c r="AR16" s="500" t="s">
        <v>107</v>
      </c>
      <c r="AS16" s="500" t="s">
        <v>19</v>
      </c>
      <c r="AT16" s="501" t="s">
        <v>96</v>
      </c>
      <c r="AU16" s="501" t="s">
        <v>19</v>
      </c>
      <c r="AV16" s="387" t="s">
        <v>223</v>
      </c>
    </row>
    <row r="17" spans="1:48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8" s="119" customFormat="1" ht="24.75" customHeight="1">
      <c r="A18" s="116"/>
      <c r="B18" s="117"/>
      <c r="C18" s="60"/>
      <c r="D18" s="2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0" si="0">J18*K18</f>
        <v>0</v>
      </c>
      <c r="N18" s="243">
        <f t="shared" ref="N18:N77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0" si="2">AC18+AK18-AM18</f>
        <v>1026.1600000000001</v>
      </c>
      <c r="AP18" s="232"/>
      <c r="AQ18" s="229"/>
      <c r="AR18" s="212">
        <v>1026.1600000000001</v>
      </c>
      <c r="AS18" s="212">
        <f t="shared" ref="AS18:AS79" si="3">AQ18*AR18</f>
        <v>0</v>
      </c>
      <c r="AT18" s="227">
        <v>1</v>
      </c>
      <c r="AU18" s="228">
        <f t="shared" ref="AU18:AU79" si="4">AT18*AR18</f>
        <v>1026.1600000000001</v>
      </c>
      <c r="AV18" s="279">
        <f t="shared" ref="AV18:AV79" si="5">AT18</f>
        <v>1</v>
      </c>
    </row>
    <row r="19" spans="1:48" s="89" customFormat="1" ht="24.75" customHeight="1">
      <c r="A19" s="80"/>
      <c r="B19" s="81"/>
      <c r="C19" s="60"/>
      <c r="D19" s="2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0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27">
        <v>1</v>
      </c>
      <c r="AU19" s="228">
        <f t="shared" si="4"/>
        <v>1026.1600000000001</v>
      </c>
      <c r="AV19" s="279">
        <f t="shared" si="5"/>
        <v>1</v>
      </c>
    </row>
    <row r="20" spans="1:48" s="62" customFormat="1" ht="26.25" customHeight="1">
      <c r="A20" s="59"/>
      <c r="B20" s="60"/>
      <c r="C20" s="60"/>
      <c r="D20" s="2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27">
        <v>2</v>
      </c>
      <c r="AU20" s="228">
        <f>AT20*AR20</f>
        <v>4040.8</v>
      </c>
      <c r="AV20" s="279">
        <f>AT20</f>
        <v>2</v>
      </c>
    </row>
    <row r="21" spans="1:48" s="62" customFormat="1" ht="29.25" customHeight="1">
      <c r="A21" s="59"/>
      <c r="B21" s="60"/>
      <c r="C21" s="60"/>
      <c r="D21" s="2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27">
        <v>4</v>
      </c>
      <c r="AU21" s="228">
        <f>AT21*AR21</f>
        <v>8081.6</v>
      </c>
      <c r="AV21" s="279">
        <f>AT21</f>
        <v>4</v>
      </c>
    </row>
    <row r="22" spans="1:48" s="62" customFormat="1" ht="24.75" customHeight="1">
      <c r="A22" s="59"/>
      <c r="B22" s="60"/>
      <c r="C22" s="60"/>
      <c r="D22" s="2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27">
        <v>1</v>
      </c>
      <c r="AU22" s="228">
        <f t="shared" si="4"/>
        <v>2094.4</v>
      </c>
      <c r="AV22" s="279">
        <f t="shared" si="5"/>
        <v>1</v>
      </c>
    </row>
    <row r="23" spans="1:48" s="89" customFormat="1" ht="33.75">
      <c r="A23" s="80"/>
      <c r="B23" s="81"/>
      <c r="C23" s="60"/>
      <c r="D23" s="2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27">
        <v>1</v>
      </c>
      <c r="AU23" s="228">
        <f t="shared" si="4"/>
        <v>2094.4</v>
      </c>
      <c r="AV23" s="279">
        <f t="shared" si="5"/>
        <v>1</v>
      </c>
    </row>
    <row r="24" spans="1:48" s="62" customFormat="1" ht="24" customHeight="1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</f>
        <v>3</v>
      </c>
      <c r="AU24" s="228">
        <f t="shared" si="4"/>
        <v>2360.6999999999998</v>
      </c>
      <c r="AV24" s="279">
        <f t="shared" si="5"/>
        <v>3</v>
      </c>
    </row>
    <row r="25" spans="1:48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8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8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8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8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</f>
        <v>35</v>
      </c>
      <c r="AU29" s="228">
        <f t="shared" si="4"/>
        <v>18732.7</v>
      </c>
      <c r="AV29" s="279">
        <f t="shared" si="5"/>
        <v>35</v>
      </c>
    </row>
    <row r="30" spans="1:48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15</v>
      </c>
      <c r="AU30" s="228"/>
      <c r="AV30" s="279">
        <v>15</v>
      </c>
    </row>
    <row r="31" spans="1:48" s="62" customFormat="1" ht="24" customHeight="1">
      <c r="A31" s="59"/>
      <c r="B31" s="60"/>
      <c r="C31" s="60"/>
      <c r="D31" s="22"/>
      <c r="E31" s="79"/>
      <c r="F31" s="51" t="s">
        <v>43</v>
      </c>
      <c r="G31" s="275" t="s">
        <v>163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243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/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>10-10</f>
        <v>0</v>
      </c>
      <c r="AU31" s="386"/>
      <c r="AV31" s="233">
        <f t="shared" si="5"/>
        <v>0</v>
      </c>
    </row>
    <row r="32" spans="1:48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8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8" s="62" customFormat="1" ht="24" customHeight="1">
      <c r="A34" s="59"/>
      <c r="B34" s="60"/>
      <c r="C34" s="60"/>
      <c r="D34" s="22"/>
      <c r="E34" s="79" t="s">
        <v>24</v>
      </c>
      <c r="F34" s="485" t="s">
        <v>269</v>
      </c>
      <c r="G34" s="222" t="s">
        <v>152</v>
      </c>
      <c r="H34" s="115" t="s">
        <v>91</v>
      </c>
      <c r="I34" s="115" t="s">
        <v>91</v>
      </c>
      <c r="J34" s="115"/>
      <c r="K34" s="115"/>
      <c r="L34" s="276"/>
      <c r="M34" s="277">
        <f>J34*K34</f>
        <v>0</v>
      </c>
      <c r="N34" s="276">
        <f>L34*M34</f>
        <v>0</v>
      </c>
      <c r="O34" s="115"/>
      <c r="P34" s="276"/>
      <c r="Q34" s="115"/>
      <c r="R34" s="276"/>
      <c r="S34" s="115"/>
      <c r="T34" s="276"/>
      <c r="U34" s="203" t="s">
        <v>265</v>
      </c>
      <c r="V34" s="115">
        <v>1405</v>
      </c>
      <c r="W34" s="114">
        <v>43052</v>
      </c>
      <c r="X34" s="115"/>
      <c r="Y34" s="115"/>
      <c r="Z34" s="115"/>
      <c r="AA34" s="115"/>
      <c r="AB34" s="35">
        <v>120</v>
      </c>
      <c r="AC34" s="170">
        <v>58734</v>
      </c>
      <c r="AD34" s="208"/>
      <c r="AE34" s="170"/>
      <c r="AF34" s="208"/>
      <c r="AG34" s="170"/>
      <c r="AH34" s="208"/>
      <c r="AI34" s="170"/>
      <c r="AJ34" s="232">
        <v>140</v>
      </c>
      <c r="AK34" s="170">
        <f>AE34+AG34+AI34</f>
        <v>0</v>
      </c>
      <c r="AL34" s="270">
        <f>15+30+10+25+20+20</f>
        <v>120</v>
      </c>
      <c r="AM34" s="170">
        <f>7341.75+14683.5+4894.5+12236.25+9789</f>
        <v>48945</v>
      </c>
      <c r="AN34" s="270">
        <v>0</v>
      </c>
      <c r="AO34" s="170">
        <f>AC34+AK34-AM34</f>
        <v>9789</v>
      </c>
      <c r="AP34" s="233"/>
      <c r="AQ34" s="233"/>
      <c r="AR34" s="170">
        <v>489.45</v>
      </c>
      <c r="AS34" s="170">
        <f>AQ34*AR34</f>
        <v>0</v>
      </c>
      <c r="AT34" s="227">
        <v>140</v>
      </c>
      <c r="AU34" s="386">
        <f>AT34*AR34</f>
        <v>68523</v>
      </c>
      <c r="AV34" s="279">
        <f>AT34</f>
        <v>140</v>
      </c>
    </row>
    <row r="35" spans="1:48" s="62" customFormat="1" ht="26.25" customHeight="1">
      <c r="A35" s="59"/>
      <c r="B35" s="60"/>
      <c r="C35" s="60"/>
      <c r="D35" s="22"/>
      <c r="E35" s="79" t="s">
        <v>24</v>
      </c>
      <c r="F35" s="51" t="s">
        <v>44</v>
      </c>
      <c r="G35" s="275" t="s">
        <v>116</v>
      </c>
      <c r="H35" s="115" t="s">
        <v>91</v>
      </c>
      <c r="I35" s="115" t="s">
        <v>91</v>
      </c>
      <c r="J35" s="115"/>
      <c r="K35" s="115"/>
      <c r="L35" s="276"/>
      <c r="M35" s="277">
        <f t="shared" si="0"/>
        <v>0</v>
      </c>
      <c r="N35" s="276">
        <f t="shared" si="1"/>
        <v>0</v>
      </c>
      <c r="O35" s="115"/>
      <c r="P35" s="276"/>
      <c r="Q35" s="115"/>
      <c r="R35" s="276"/>
      <c r="S35" s="115"/>
      <c r="T35" s="276"/>
      <c r="U35" s="278" t="s">
        <v>186</v>
      </c>
      <c r="V35" s="115">
        <v>1418</v>
      </c>
      <c r="W35" s="114">
        <v>43312</v>
      </c>
      <c r="X35" s="115" t="s">
        <v>184</v>
      </c>
      <c r="Y35" s="221">
        <v>43332</v>
      </c>
      <c r="Z35" s="115" t="s">
        <v>185</v>
      </c>
      <c r="AA35" s="221">
        <v>43320</v>
      </c>
      <c r="AB35" s="22">
        <v>0</v>
      </c>
      <c r="AC35" s="170">
        <v>0</v>
      </c>
      <c r="AD35" s="208">
        <v>55</v>
      </c>
      <c r="AE35" s="170">
        <v>10780</v>
      </c>
      <c r="AF35" s="208"/>
      <c r="AG35" s="170"/>
      <c r="AH35" s="208"/>
      <c r="AI35" s="170"/>
      <c r="AJ35" s="233"/>
      <c r="AK35" s="170">
        <f t="shared" si="6"/>
        <v>10780</v>
      </c>
      <c r="AL35" s="270">
        <v>0</v>
      </c>
      <c r="AM35" s="170">
        <v>0</v>
      </c>
      <c r="AN35" s="270">
        <v>55</v>
      </c>
      <c r="AO35" s="170">
        <v>0</v>
      </c>
      <c r="AP35" s="233"/>
      <c r="AQ35" s="233"/>
      <c r="AR35" s="170">
        <v>196</v>
      </c>
      <c r="AS35" s="170">
        <f t="shared" si="3"/>
        <v>0</v>
      </c>
      <c r="AT35" s="233">
        <f>55-15-40</f>
        <v>0</v>
      </c>
      <c r="AU35" s="386">
        <f t="shared" si="4"/>
        <v>0</v>
      </c>
      <c r="AV35" s="233">
        <f t="shared" si="5"/>
        <v>0</v>
      </c>
    </row>
    <row r="36" spans="1:48" s="62" customFormat="1" ht="26.25" customHeight="1">
      <c r="A36" s="59"/>
      <c r="B36" s="60"/>
      <c r="C36" s="60"/>
      <c r="D36" s="22"/>
      <c r="E36" s="79"/>
      <c r="F36" s="149" t="s">
        <v>44</v>
      </c>
      <c r="G36" s="222" t="s">
        <v>116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/>
      <c r="V36" s="115"/>
      <c r="W36" s="114"/>
      <c r="X36" s="193"/>
      <c r="Y36" s="200"/>
      <c r="Z36" s="193"/>
      <c r="AA36" s="200"/>
      <c r="AB36" s="22"/>
      <c r="AC36" s="170"/>
      <c r="AD36" s="209"/>
      <c r="AE36" s="194"/>
      <c r="AF36" s="209"/>
      <c r="AG36" s="194"/>
      <c r="AH36" s="209"/>
      <c r="AI36" s="194"/>
      <c r="AJ36" s="232"/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15</v>
      </c>
      <c r="AU36" s="228"/>
      <c r="AV36" s="279">
        <v>15</v>
      </c>
    </row>
    <row r="37" spans="1:48" s="62" customFormat="1" ht="27" hidden="1" customHeight="1">
      <c r="A37" s="59"/>
      <c r="B37" s="60"/>
      <c r="C37" s="60"/>
      <c r="D37" s="22"/>
      <c r="E37" s="79" t="s">
        <v>24</v>
      </c>
      <c r="F37" s="51" t="s">
        <v>52</v>
      </c>
      <c r="G37" s="275" t="s">
        <v>111</v>
      </c>
      <c r="H37" s="115" t="s">
        <v>91</v>
      </c>
      <c r="I37" s="115" t="s">
        <v>91</v>
      </c>
      <c r="J37" s="115"/>
      <c r="K37" s="115"/>
      <c r="L37" s="276"/>
      <c r="M37" s="277">
        <f t="shared" si="0"/>
        <v>0</v>
      </c>
      <c r="N37" s="276">
        <f t="shared" si="1"/>
        <v>0</v>
      </c>
      <c r="O37" s="115"/>
      <c r="P37" s="276"/>
      <c r="Q37" s="115"/>
      <c r="R37" s="276"/>
      <c r="S37" s="115"/>
      <c r="T37" s="276"/>
      <c r="U37" s="278" t="s">
        <v>112</v>
      </c>
      <c r="V37" s="115">
        <v>1625</v>
      </c>
      <c r="W37" s="114">
        <v>43087</v>
      </c>
      <c r="X37" s="115" t="s">
        <v>109</v>
      </c>
      <c r="Y37" s="221">
        <v>43109</v>
      </c>
      <c r="Z37" s="115" t="s">
        <v>110</v>
      </c>
      <c r="AA37" s="221">
        <v>43111</v>
      </c>
      <c r="AB37" s="22">
        <v>0</v>
      </c>
      <c r="AC37" s="170">
        <v>0</v>
      </c>
      <c r="AD37" s="208">
        <v>5</v>
      </c>
      <c r="AE37" s="170">
        <v>1010.9</v>
      </c>
      <c r="AF37" s="208"/>
      <c r="AG37" s="170"/>
      <c r="AH37" s="208"/>
      <c r="AI37" s="170"/>
      <c r="AJ37" s="232"/>
      <c r="AK37" s="170">
        <f t="shared" si="6"/>
        <v>1010.9</v>
      </c>
      <c r="AL37" s="270">
        <v>5</v>
      </c>
      <c r="AM37" s="170">
        <v>1010.9</v>
      </c>
      <c r="AN37" s="270">
        <v>0</v>
      </c>
      <c r="AO37" s="170">
        <f t="shared" si="2"/>
        <v>0</v>
      </c>
      <c r="AP37" s="233"/>
      <c r="AQ37" s="233"/>
      <c r="AR37" s="170"/>
      <c r="AS37" s="170">
        <f t="shared" si="3"/>
        <v>0</v>
      </c>
      <c r="AT37" s="208">
        <v>0</v>
      </c>
      <c r="AU37" s="170">
        <f t="shared" si="4"/>
        <v>0</v>
      </c>
      <c r="AV37" s="233">
        <f t="shared" si="5"/>
        <v>0</v>
      </c>
    </row>
    <row r="38" spans="1:48" s="62" customFormat="1" ht="27" hidden="1" customHeight="1">
      <c r="A38" s="59"/>
      <c r="B38" s="60"/>
      <c r="C38" s="60"/>
      <c r="D38" s="22"/>
      <c r="E38" s="79" t="s">
        <v>24</v>
      </c>
      <c r="F38" s="51" t="s">
        <v>52</v>
      </c>
      <c r="G38" s="275" t="s">
        <v>111</v>
      </c>
      <c r="H38" s="115" t="s">
        <v>91</v>
      </c>
      <c r="I38" s="115" t="s">
        <v>91</v>
      </c>
      <c r="J38" s="115">
        <v>2016</v>
      </c>
      <c r="K38" s="115">
        <v>2</v>
      </c>
      <c r="L38" s="276">
        <v>199.06</v>
      </c>
      <c r="M38" s="277">
        <f t="shared" si="0"/>
        <v>4032</v>
      </c>
      <c r="N38" s="276">
        <f t="shared" si="1"/>
        <v>802609.92</v>
      </c>
      <c r="O38" s="115">
        <v>4130</v>
      </c>
      <c r="P38" s="276">
        <v>1054554.2</v>
      </c>
      <c r="Q38" s="115"/>
      <c r="R38" s="276"/>
      <c r="S38" s="115"/>
      <c r="T38" s="276"/>
      <c r="U38" s="278" t="s">
        <v>112</v>
      </c>
      <c r="V38" s="115">
        <v>1583</v>
      </c>
      <c r="W38" s="114">
        <v>43082</v>
      </c>
      <c r="X38" s="115" t="s">
        <v>113</v>
      </c>
      <c r="Y38" s="221">
        <v>43109</v>
      </c>
      <c r="Z38" s="115" t="s">
        <v>110</v>
      </c>
      <c r="AA38" s="221">
        <v>43111</v>
      </c>
      <c r="AB38" s="22">
        <v>0</v>
      </c>
      <c r="AC38" s="170">
        <v>0</v>
      </c>
      <c r="AD38" s="208">
        <v>490</v>
      </c>
      <c r="AE38" s="170">
        <v>99068.2</v>
      </c>
      <c r="AF38" s="208"/>
      <c r="AG38" s="170"/>
      <c r="AH38" s="208"/>
      <c r="AI38" s="170"/>
      <c r="AJ38" s="232"/>
      <c r="AK38" s="170">
        <f t="shared" si="6"/>
        <v>99068.2</v>
      </c>
      <c r="AL38" s="270">
        <f>135+130+130</f>
        <v>395</v>
      </c>
      <c r="AM38" s="170">
        <f>AL38*AR38</f>
        <v>79861.100000000006</v>
      </c>
      <c r="AN38" s="270">
        <v>95</v>
      </c>
      <c r="AO38" s="170">
        <f t="shared" si="2"/>
        <v>19207.099999999991</v>
      </c>
      <c r="AP38" s="233"/>
      <c r="AQ38" s="233"/>
      <c r="AR38" s="170">
        <v>202.18</v>
      </c>
      <c r="AS38" s="170">
        <f t="shared" si="3"/>
        <v>0</v>
      </c>
      <c r="AT38" s="233">
        <v>0</v>
      </c>
      <c r="AU38" s="386">
        <f t="shared" si="4"/>
        <v>0</v>
      </c>
      <c r="AV38" s="233">
        <f t="shared" si="5"/>
        <v>0</v>
      </c>
    </row>
    <row r="39" spans="1:48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1745</v>
      </c>
      <c r="W39" s="114">
        <v>43096</v>
      </c>
      <c r="X39" s="115" t="s">
        <v>117</v>
      </c>
      <c r="Y39" s="221">
        <v>43109</v>
      </c>
      <c r="Z39" s="115" t="s">
        <v>118</v>
      </c>
      <c r="AA39" s="221">
        <v>43133</v>
      </c>
      <c r="AB39" s="22">
        <v>0</v>
      </c>
      <c r="AC39" s="170">
        <v>0</v>
      </c>
      <c r="AD39" s="208">
        <v>195</v>
      </c>
      <c r="AE39" s="170">
        <v>39425.1</v>
      </c>
      <c r="AF39" s="208"/>
      <c r="AG39" s="170"/>
      <c r="AH39" s="208"/>
      <c r="AI39" s="170"/>
      <c r="AJ39" s="232"/>
      <c r="AK39" s="170">
        <f t="shared" si="6"/>
        <v>39425.1</v>
      </c>
      <c r="AL39" s="270">
        <v>0</v>
      </c>
      <c r="AM39" s="170">
        <v>0</v>
      </c>
      <c r="AN39" s="270">
        <v>195</v>
      </c>
      <c r="AO39" s="170">
        <f t="shared" si="2"/>
        <v>39425.1</v>
      </c>
      <c r="AP39" s="233"/>
      <c r="AQ39" s="233"/>
      <c r="AR39" s="170">
        <v>202.18</v>
      </c>
      <c r="AS39" s="170">
        <f t="shared" si="3"/>
        <v>0</v>
      </c>
      <c r="AT39" s="233">
        <f>160-140-20</f>
        <v>0</v>
      </c>
      <c r="AU39" s="386">
        <f t="shared" si="4"/>
        <v>0</v>
      </c>
      <c r="AV39" s="233">
        <f t="shared" si="5"/>
        <v>0</v>
      </c>
    </row>
    <row r="40" spans="1:48" s="62" customFormat="1" ht="26.25" customHeight="1">
      <c r="A40" s="59"/>
      <c r="B40" s="60"/>
      <c r="C40" s="60"/>
      <c r="D40" s="22"/>
      <c r="E40" s="79" t="s">
        <v>24</v>
      </c>
      <c r="F40" s="51" t="s">
        <v>65</v>
      </c>
      <c r="G40" s="275" t="s">
        <v>111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 t="s">
        <v>133</v>
      </c>
      <c r="V40" s="115">
        <v>426</v>
      </c>
      <c r="W40" s="114">
        <v>43164</v>
      </c>
      <c r="X40" s="115" t="s">
        <v>141</v>
      </c>
      <c r="Y40" s="221">
        <v>43164</v>
      </c>
      <c r="Z40" s="115" t="s">
        <v>142</v>
      </c>
      <c r="AA40" s="221">
        <v>43230</v>
      </c>
      <c r="AB40" s="22">
        <v>0</v>
      </c>
      <c r="AC40" s="170">
        <v>0</v>
      </c>
      <c r="AD40" s="208">
        <v>170</v>
      </c>
      <c r="AE40" s="170">
        <v>34370.6</v>
      </c>
      <c r="AF40" s="208"/>
      <c r="AG40" s="170"/>
      <c r="AH40" s="208"/>
      <c r="AI40" s="170"/>
      <c r="AJ40" s="233"/>
      <c r="AK40" s="170">
        <f t="shared" si="6"/>
        <v>34370.6</v>
      </c>
      <c r="AL40" s="270">
        <v>0</v>
      </c>
      <c r="AM40" s="170">
        <v>0</v>
      </c>
      <c r="AN40" s="270">
        <v>170</v>
      </c>
      <c r="AO40" s="170">
        <f t="shared" si="2"/>
        <v>34370.6</v>
      </c>
      <c r="AP40" s="233"/>
      <c r="AQ40" s="233"/>
      <c r="AR40" s="170">
        <v>202.18</v>
      </c>
      <c r="AS40" s="170">
        <f t="shared" si="3"/>
        <v>0</v>
      </c>
      <c r="AT40" s="233">
        <f>60-60</f>
        <v>0</v>
      </c>
      <c r="AU40" s="386">
        <f t="shared" si="4"/>
        <v>0</v>
      </c>
      <c r="AV40" s="233">
        <f t="shared" si="5"/>
        <v>0</v>
      </c>
    </row>
    <row r="41" spans="1:48" s="62" customFormat="1" ht="26.25" customHeight="1">
      <c r="A41" s="59"/>
      <c r="B41" s="60"/>
      <c r="C41" s="60"/>
      <c r="D41" s="22"/>
      <c r="E41" s="79" t="s">
        <v>24</v>
      </c>
      <c r="F41" s="53" t="s">
        <v>65</v>
      </c>
      <c r="G41" s="222" t="s">
        <v>111</v>
      </c>
      <c r="H41" s="193" t="s">
        <v>91</v>
      </c>
      <c r="I41" s="193" t="s">
        <v>91</v>
      </c>
      <c r="J41" s="193"/>
      <c r="K41" s="193"/>
      <c r="L41" s="243"/>
      <c r="M41" s="242">
        <f t="shared" si="0"/>
        <v>0</v>
      </c>
      <c r="N41" s="243">
        <f t="shared" si="1"/>
        <v>0</v>
      </c>
      <c r="O41" s="193"/>
      <c r="P41" s="243"/>
      <c r="Q41" s="193"/>
      <c r="R41" s="243"/>
      <c r="S41" s="193"/>
      <c r="T41" s="243"/>
      <c r="U41" s="203" t="s">
        <v>133</v>
      </c>
      <c r="V41" s="115">
        <v>234</v>
      </c>
      <c r="W41" s="114">
        <v>43143</v>
      </c>
      <c r="X41" s="193" t="s">
        <v>143</v>
      </c>
      <c r="Y41" s="200">
        <v>43164</v>
      </c>
      <c r="Z41" s="193"/>
      <c r="AA41" s="193"/>
      <c r="AB41" s="22">
        <v>0</v>
      </c>
      <c r="AC41" s="170">
        <v>0</v>
      </c>
      <c r="AD41" s="209">
        <v>320</v>
      </c>
      <c r="AE41" s="194">
        <v>64697.599999999999</v>
      </c>
      <c r="AF41" s="209"/>
      <c r="AG41" s="194"/>
      <c r="AH41" s="209"/>
      <c r="AI41" s="194"/>
      <c r="AJ41" s="232"/>
      <c r="AK41" s="170">
        <f t="shared" si="6"/>
        <v>64697.599999999999</v>
      </c>
      <c r="AL41" s="272">
        <v>0</v>
      </c>
      <c r="AM41" s="212">
        <v>0</v>
      </c>
      <c r="AN41" s="269">
        <v>320</v>
      </c>
      <c r="AO41" s="217">
        <f t="shared" si="2"/>
        <v>64697.599999999999</v>
      </c>
      <c r="AP41" s="232"/>
      <c r="AQ41" s="229"/>
      <c r="AR41" s="212">
        <v>202.18</v>
      </c>
      <c r="AS41" s="212">
        <f t="shared" si="3"/>
        <v>0</v>
      </c>
      <c r="AT41" s="227">
        <f>320-230</f>
        <v>90</v>
      </c>
      <c r="AU41" s="228">
        <f t="shared" si="4"/>
        <v>18196.2</v>
      </c>
      <c r="AV41" s="279">
        <f t="shared" si="5"/>
        <v>90</v>
      </c>
    </row>
    <row r="42" spans="1:48" s="62" customFormat="1" ht="26.25" customHeight="1">
      <c r="A42" s="59"/>
      <c r="B42" s="60"/>
      <c r="C42" s="60"/>
      <c r="D42" s="22"/>
      <c r="E42" s="79" t="s">
        <v>24</v>
      </c>
      <c r="F42" s="53" t="s">
        <v>65</v>
      </c>
      <c r="G42" s="222" t="s">
        <v>111</v>
      </c>
      <c r="H42" s="193" t="s">
        <v>91</v>
      </c>
      <c r="I42" s="193" t="s">
        <v>91</v>
      </c>
      <c r="J42" s="193"/>
      <c r="K42" s="193"/>
      <c r="L42" s="243"/>
      <c r="M42" s="242">
        <f t="shared" si="0"/>
        <v>0</v>
      </c>
      <c r="N42" s="243">
        <f t="shared" si="1"/>
        <v>0</v>
      </c>
      <c r="O42" s="193"/>
      <c r="P42" s="243"/>
      <c r="Q42" s="193"/>
      <c r="R42" s="243"/>
      <c r="S42" s="193"/>
      <c r="T42" s="243"/>
      <c r="U42" s="203" t="s">
        <v>132</v>
      </c>
      <c r="V42" s="115">
        <v>234</v>
      </c>
      <c r="W42" s="114">
        <v>43143</v>
      </c>
      <c r="X42" s="193" t="s">
        <v>143</v>
      </c>
      <c r="Y42" s="200">
        <v>43164</v>
      </c>
      <c r="Z42" s="193"/>
      <c r="AA42" s="193"/>
      <c r="AB42" s="22">
        <v>0</v>
      </c>
      <c r="AC42" s="170">
        <v>0</v>
      </c>
      <c r="AD42" s="209">
        <v>15</v>
      </c>
      <c r="AE42" s="194">
        <v>3032.7</v>
      </c>
      <c r="AF42" s="209"/>
      <c r="AG42" s="194"/>
      <c r="AH42" s="209"/>
      <c r="AI42" s="194"/>
      <c r="AJ42" s="232"/>
      <c r="AK42" s="170">
        <f t="shared" si="6"/>
        <v>3032.7</v>
      </c>
      <c r="AL42" s="272">
        <v>0</v>
      </c>
      <c r="AM42" s="212">
        <v>0</v>
      </c>
      <c r="AN42" s="269">
        <v>15</v>
      </c>
      <c r="AO42" s="217">
        <f t="shared" si="2"/>
        <v>3032.7</v>
      </c>
      <c r="AP42" s="232"/>
      <c r="AQ42" s="229"/>
      <c r="AR42" s="212">
        <v>202.18</v>
      </c>
      <c r="AS42" s="212">
        <f t="shared" si="3"/>
        <v>0</v>
      </c>
      <c r="AT42" s="227">
        <v>15</v>
      </c>
      <c r="AU42" s="228">
        <f t="shared" si="4"/>
        <v>3032.7000000000003</v>
      </c>
      <c r="AV42" s="279">
        <f t="shared" si="5"/>
        <v>15</v>
      </c>
    </row>
    <row r="43" spans="1:48" s="62" customFormat="1" ht="27" customHeight="1">
      <c r="A43" s="59"/>
      <c r="B43" s="60"/>
      <c r="C43" s="60"/>
      <c r="D43" s="2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356</v>
      </c>
      <c r="W43" s="114">
        <v>43159</v>
      </c>
      <c r="X43" s="193" t="s">
        <v>136</v>
      </c>
      <c r="Y43" s="200">
        <v>43164</v>
      </c>
      <c r="Z43" s="193"/>
      <c r="AA43" s="193"/>
      <c r="AB43" s="22">
        <v>0</v>
      </c>
      <c r="AC43" s="170">
        <v>0</v>
      </c>
      <c r="AD43" s="209">
        <v>170</v>
      </c>
      <c r="AE43" s="194">
        <v>34370.6</v>
      </c>
      <c r="AF43" s="209"/>
      <c r="AG43" s="194"/>
      <c r="AH43" s="209"/>
      <c r="AI43" s="194"/>
      <c r="AJ43" s="232"/>
      <c r="AK43" s="170">
        <f t="shared" si="6"/>
        <v>34370.6</v>
      </c>
      <c r="AL43" s="272">
        <v>0</v>
      </c>
      <c r="AM43" s="212">
        <v>0</v>
      </c>
      <c r="AN43" s="269">
        <v>170</v>
      </c>
      <c r="AO43" s="217">
        <f t="shared" si="2"/>
        <v>34370.6</v>
      </c>
      <c r="AP43" s="232"/>
      <c r="AQ43" s="229"/>
      <c r="AR43" s="212">
        <v>202.18</v>
      </c>
      <c r="AS43" s="212">
        <f t="shared" si="3"/>
        <v>0</v>
      </c>
      <c r="AT43" s="227">
        <v>170</v>
      </c>
      <c r="AU43" s="228">
        <f t="shared" si="4"/>
        <v>34370.6</v>
      </c>
      <c r="AV43" s="279">
        <f t="shared" si="5"/>
        <v>170</v>
      </c>
    </row>
    <row r="44" spans="1:48" s="62" customFormat="1" ht="27" customHeight="1">
      <c r="A44" s="59"/>
      <c r="B44" s="60"/>
      <c r="C44" s="60"/>
      <c r="D44" s="2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133</v>
      </c>
      <c r="V44" s="115">
        <v>260</v>
      </c>
      <c r="W44" s="114">
        <v>43145</v>
      </c>
      <c r="X44" s="193" t="s">
        <v>94</v>
      </c>
      <c r="Y44" s="200">
        <v>43164</v>
      </c>
      <c r="Z44" s="193"/>
      <c r="AA44" s="193"/>
      <c r="AB44" s="22">
        <v>0</v>
      </c>
      <c r="AC44" s="170">
        <v>0</v>
      </c>
      <c r="AD44" s="209">
        <v>665</v>
      </c>
      <c r="AE44" s="194">
        <v>134449.70000000001</v>
      </c>
      <c r="AF44" s="209"/>
      <c r="AG44" s="194"/>
      <c r="AH44" s="209"/>
      <c r="AI44" s="194"/>
      <c r="AJ44" s="232"/>
      <c r="AK44" s="170">
        <f t="shared" si="6"/>
        <v>134449.70000000001</v>
      </c>
      <c r="AL44" s="272">
        <v>0</v>
      </c>
      <c r="AM44" s="212">
        <v>0</v>
      </c>
      <c r="AN44" s="269">
        <v>665</v>
      </c>
      <c r="AO44" s="217">
        <f t="shared" si="2"/>
        <v>134449.70000000001</v>
      </c>
      <c r="AP44" s="232"/>
      <c r="AQ44" s="229"/>
      <c r="AR44" s="212">
        <v>202.18</v>
      </c>
      <c r="AS44" s="212">
        <f t="shared" si="3"/>
        <v>0</v>
      </c>
      <c r="AT44" s="227">
        <v>665</v>
      </c>
      <c r="AU44" s="228">
        <f t="shared" si="4"/>
        <v>134449.70000000001</v>
      </c>
      <c r="AV44" s="279">
        <f t="shared" si="5"/>
        <v>665</v>
      </c>
    </row>
    <row r="45" spans="1:48" s="62" customFormat="1" ht="26.25" customHeight="1">
      <c r="A45" s="59"/>
      <c r="B45" s="60"/>
      <c r="C45" s="60"/>
      <c r="D45" s="2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124</v>
      </c>
      <c r="V45" s="115">
        <v>68</v>
      </c>
      <c r="W45" s="114">
        <v>43116</v>
      </c>
      <c r="X45" s="193" t="s">
        <v>125</v>
      </c>
      <c r="Y45" s="200">
        <v>43130</v>
      </c>
      <c r="Z45" s="193"/>
      <c r="AA45" s="193"/>
      <c r="AB45" s="22">
        <v>0</v>
      </c>
      <c r="AC45" s="170">
        <v>0</v>
      </c>
      <c r="AD45" s="209">
        <v>335</v>
      </c>
      <c r="AE45" s="194">
        <v>67730.3</v>
      </c>
      <c r="AF45" s="209"/>
      <c r="AG45" s="194"/>
      <c r="AH45" s="209"/>
      <c r="AI45" s="194"/>
      <c r="AJ45" s="232"/>
      <c r="AK45" s="170">
        <f t="shared" si="6"/>
        <v>67730.3</v>
      </c>
      <c r="AL45" s="272">
        <v>0</v>
      </c>
      <c r="AM45" s="212">
        <v>0</v>
      </c>
      <c r="AN45" s="269">
        <v>335</v>
      </c>
      <c r="AO45" s="217">
        <f t="shared" si="2"/>
        <v>67730.3</v>
      </c>
      <c r="AP45" s="232"/>
      <c r="AQ45" s="229"/>
      <c r="AR45" s="212">
        <v>202.18</v>
      </c>
      <c r="AS45" s="212">
        <f t="shared" si="3"/>
        <v>0</v>
      </c>
      <c r="AT45" s="227">
        <v>155</v>
      </c>
      <c r="AU45" s="228">
        <f t="shared" si="4"/>
        <v>31337.9</v>
      </c>
      <c r="AV45" s="279">
        <f t="shared" si="5"/>
        <v>155</v>
      </c>
    </row>
    <row r="46" spans="1:48" s="62" customFormat="1" ht="26.25" customHeight="1">
      <c r="A46" s="59"/>
      <c r="B46" s="60"/>
      <c r="C46" s="60"/>
      <c r="D46" s="2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124</v>
      </c>
      <c r="V46" s="115">
        <v>135</v>
      </c>
      <c r="W46" s="114">
        <v>42761</v>
      </c>
      <c r="X46" s="193" t="s">
        <v>126</v>
      </c>
      <c r="Y46" s="200">
        <v>43130</v>
      </c>
      <c r="Z46" s="193"/>
      <c r="AA46" s="193"/>
      <c r="AB46" s="22">
        <v>0</v>
      </c>
      <c r="AC46" s="170">
        <v>0</v>
      </c>
      <c r="AD46" s="209">
        <v>155</v>
      </c>
      <c r="AE46" s="194">
        <v>31337.9</v>
      </c>
      <c r="AF46" s="209"/>
      <c r="AG46" s="194"/>
      <c r="AH46" s="209"/>
      <c r="AI46" s="194"/>
      <c r="AJ46" s="232"/>
      <c r="AK46" s="170">
        <f t="shared" si="6"/>
        <v>31337.9</v>
      </c>
      <c r="AL46" s="272">
        <v>0</v>
      </c>
      <c r="AM46" s="212">
        <v>0</v>
      </c>
      <c r="AN46" s="269">
        <v>155</v>
      </c>
      <c r="AO46" s="217">
        <f t="shared" si="2"/>
        <v>31337.9</v>
      </c>
      <c r="AP46" s="232"/>
      <c r="AQ46" s="229"/>
      <c r="AR46" s="212">
        <v>202.18</v>
      </c>
      <c r="AS46" s="212">
        <f t="shared" si="3"/>
        <v>0</v>
      </c>
      <c r="AT46" s="227">
        <v>155</v>
      </c>
      <c r="AU46" s="228">
        <f t="shared" si="4"/>
        <v>31337.9</v>
      </c>
      <c r="AV46" s="279">
        <f t="shared" si="5"/>
        <v>155</v>
      </c>
    </row>
    <row r="47" spans="1:48" s="62" customFormat="1" ht="26.25" customHeight="1">
      <c r="A47" s="59"/>
      <c r="B47" s="60"/>
      <c r="C47" s="60"/>
      <c r="D47" s="22"/>
      <c r="E47" s="79" t="s">
        <v>24</v>
      </c>
      <c r="F47" s="53" t="s">
        <v>65</v>
      </c>
      <c r="G47" s="222" t="s">
        <v>111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132</v>
      </c>
      <c r="V47" s="115">
        <v>108</v>
      </c>
      <c r="W47" s="114">
        <v>43119</v>
      </c>
      <c r="X47" s="193" t="s">
        <v>131</v>
      </c>
      <c r="Y47" s="200">
        <v>43130</v>
      </c>
      <c r="Z47" s="193"/>
      <c r="AA47" s="193"/>
      <c r="AB47" s="22">
        <v>0</v>
      </c>
      <c r="AC47" s="170">
        <v>0</v>
      </c>
      <c r="AD47" s="209">
        <v>340</v>
      </c>
      <c r="AE47" s="194">
        <v>68741.2</v>
      </c>
      <c r="AF47" s="209"/>
      <c r="AG47" s="194"/>
      <c r="AH47" s="209"/>
      <c r="AI47" s="194"/>
      <c r="AJ47" s="232"/>
      <c r="AK47" s="170">
        <f t="shared" si="6"/>
        <v>68741.2</v>
      </c>
      <c r="AL47" s="272">
        <v>0</v>
      </c>
      <c r="AM47" s="212">
        <v>0</v>
      </c>
      <c r="AN47" s="269">
        <v>340</v>
      </c>
      <c r="AO47" s="217">
        <f t="shared" si="2"/>
        <v>68741.2</v>
      </c>
      <c r="AP47" s="232"/>
      <c r="AQ47" s="229"/>
      <c r="AR47" s="212">
        <v>202.18</v>
      </c>
      <c r="AS47" s="212">
        <f t="shared" si="3"/>
        <v>0</v>
      </c>
      <c r="AT47" s="227">
        <v>340</v>
      </c>
      <c r="AU47" s="228">
        <f t="shared" si="4"/>
        <v>68741.2</v>
      </c>
      <c r="AV47" s="279">
        <f t="shared" si="5"/>
        <v>340</v>
      </c>
    </row>
    <row r="48" spans="1:48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161</v>
      </c>
      <c r="V48" s="115">
        <v>659</v>
      </c>
      <c r="W48" s="114">
        <v>43201</v>
      </c>
      <c r="X48" s="193" t="s">
        <v>159</v>
      </c>
      <c r="Y48" s="200">
        <v>43213</v>
      </c>
      <c r="Z48" s="193" t="s">
        <v>160</v>
      </c>
      <c r="AA48" s="200">
        <v>43255</v>
      </c>
      <c r="AB48" s="22">
        <v>0</v>
      </c>
      <c r="AC48" s="170">
        <v>0</v>
      </c>
      <c r="AD48" s="209">
        <v>245</v>
      </c>
      <c r="AE48" s="194">
        <v>49534.1</v>
      </c>
      <c r="AF48" s="209"/>
      <c r="AG48" s="194"/>
      <c r="AH48" s="209"/>
      <c r="AI48" s="194"/>
      <c r="AJ48" s="232"/>
      <c r="AK48" s="170">
        <f t="shared" si="6"/>
        <v>49534.1</v>
      </c>
      <c r="AL48" s="272">
        <v>0</v>
      </c>
      <c r="AM48" s="212">
        <v>0</v>
      </c>
      <c r="AN48" s="269">
        <v>245</v>
      </c>
      <c r="AO48" s="217">
        <f t="shared" si="2"/>
        <v>49534.1</v>
      </c>
      <c r="AP48" s="232"/>
      <c r="AQ48" s="229"/>
      <c r="AR48" s="212">
        <v>202.18</v>
      </c>
      <c r="AS48" s="212">
        <f t="shared" si="3"/>
        <v>0</v>
      </c>
      <c r="AT48" s="227">
        <v>245</v>
      </c>
      <c r="AU48" s="228">
        <f t="shared" si="4"/>
        <v>49534.1</v>
      </c>
      <c r="AV48" s="279">
        <f t="shared" si="5"/>
        <v>245</v>
      </c>
    </row>
    <row r="49" spans="1:48" s="62" customFormat="1" ht="26.25" customHeight="1">
      <c r="A49" s="59"/>
      <c r="B49" s="60"/>
      <c r="C49" s="60"/>
      <c r="D49" s="2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161</v>
      </c>
      <c r="V49" s="115">
        <v>834</v>
      </c>
      <c r="W49" s="114">
        <v>43222</v>
      </c>
      <c r="X49" s="193" t="s">
        <v>162</v>
      </c>
      <c r="Y49" s="200">
        <v>43242</v>
      </c>
      <c r="Z49" s="193"/>
      <c r="AA49" s="193"/>
      <c r="AB49" s="22">
        <v>0</v>
      </c>
      <c r="AC49" s="170">
        <v>0</v>
      </c>
      <c r="AD49" s="209">
        <v>555</v>
      </c>
      <c r="AE49" s="194">
        <v>112209.9</v>
      </c>
      <c r="AF49" s="209"/>
      <c r="AG49" s="194"/>
      <c r="AH49" s="209"/>
      <c r="AI49" s="194"/>
      <c r="AJ49" s="232"/>
      <c r="AK49" s="170">
        <f t="shared" si="6"/>
        <v>112209.9</v>
      </c>
      <c r="AL49" s="272">
        <v>0</v>
      </c>
      <c r="AM49" s="212">
        <v>0</v>
      </c>
      <c r="AN49" s="269">
        <v>555</v>
      </c>
      <c r="AO49" s="217">
        <f t="shared" si="2"/>
        <v>112209.9</v>
      </c>
      <c r="AP49" s="232"/>
      <c r="AQ49" s="229"/>
      <c r="AR49" s="212">
        <v>202.18</v>
      </c>
      <c r="AS49" s="212">
        <f t="shared" si="3"/>
        <v>0</v>
      </c>
      <c r="AT49" s="227">
        <v>555</v>
      </c>
      <c r="AU49" s="228">
        <f t="shared" si="4"/>
        <v>112209.90000000001</v>
      </c>
      <c r="AV49" s="279">
        <f t="shared" si="5"/>
        <v>555</v>
      </c>
    </row>
    <row r="50" spans="1:48" s="62" customFormat="1" ht="26.25" customHeight="1">
      <c r="A50" s="59"/>
      <c r="B50" s="60"/>
      <c r="C50" s="60"/>
      <c r="D50" s="2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175</v>
      </c>
      <c r="V50" s="115">
        <v>1006</v>
      </c>
      <c r="W50" s="114">
        <v>43244</v>
      </c>
      <c r="X50" s="193" t="s">
        <v>179</v>
      </c>
      <c r="Y50" s="200">
        <v>43285</v>
      </c>
      <c r="Z50" s="193"/>
      <c r="AA50" s="193"/>
      <c r="AB50" s="22">
        <v>0</v>
      </c>
      <c r="AC50" s="170">
        <v>0</v>
      </c>
      <c r="AD50" s="209">
        <v>45</v>
      </c>
      <c r="AE50" s="194">
        <v>8820</v>
      </c>
      <c r="AF50" s="209"/>
      <c r="AG50" s="194"/>
      <c r="AH50" s="209"/>
      <c r="AI50" s="194"/>
      <c r="AJ50" s="232"/>
      <c r="AK50" s="170">
        <f t="shared" si="6"/>
        <v>8820</v>
      </c>
      <c r="AL50" s="272">
        <v>0</v>
      </c>
      <c r="AM50" s="212">
        <v>0</v>
      </c>
      <c r="AN50" s="269">
        <v>45</v>
      </c>
      <c r="AO50" s="217">
        <f t="shared" si="2"/>
        <v>8820</v>
      </c>
      <c r="AP50" s="232"/>
      <c r="AQ50" s="229"/>
      <c r="AR50" s="212">
        <v>196</v>
      </c>
      <c r="AS50" s="212">
        <f t="shared" si="3"/>
        <v>0</v>
      </c>
      <c r="AT50" s="227">
        <v>45</v>
      </c>
      <c r="AU50" s="228">
        <f t="shared" si="4"/>
        <v>8820</v>
      </c>
      <c r="AV50" s="279">
        <f t="shared" si="5"/>
        <v>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175</v>
      </c>
      <c r="V51" s="115">
        <v>1006</v>
      </c>
      <c r="W51" s="114">
        <v>43244</v>
      </c>
      <c r="X51" s="193" t="s">
        <v>179</v>
      </c>
      <c r="Y51" s="200">
        <v>43285</v>
      </c>
      <c r="Z51" s="193"/>
      <c r="AA51" s="193"/>
      <c r="AB51" s="22">
        <v>0</v>
      </c>
      <c r="AC51" s="170">
        <v>0</v>
      </c>
      <c r="AD51" s="209">
        <v>55</v>
      </c>
      <c r="AE51" s="194">
        <v>11119.9</v>
      </c>
      <c r="AF51" s="209"/>
      <c r="AG51" s="194"/>
      <c r="AH51" s="209"/>
      <c r="AI51" s="194"/>
      <c r="AJ51" s="232"/>
      <c r="AK51" s="170">
        <f t="shared" si="6"/>
        <v>11119.9</v>
      </c>
      <c r="AL51" s="272">
        <v>0</v>
      </c>
      <c r="AM51" s="212">
        <v>0</v>
      </c>
      <c r="AN51" s="269">
        <v>55</v>
      </c>
      <c r="AO51" s="217">
        <f t="shared" si="2"/>
        <v>11119.9</v>
      </c>
      <c r="AP51" s="232"/>
      <c r="AQ51" s="229"/>
      <c r="AR51" s="212">
        <v>202.18</v>
      </c>
      <c r="AS51" s="212">
        <f t="shared" si="3"/>
        <v>0</v>
      </c>
      <c r="AT51" s="227">
        <v>55</v>
      </c>
      <c r="AU51" s="228">
        <f t="shared" si="4"/>
        <v>11119.9</v>
      </c>
      <c r="AV51" s="279">
        <f t="shared" si="5"/>
        <v>55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877</v>
      </c>
      <c r="W52" s="114">
        <v>43230</v>
      </c>
      <c r="X52" s="193" t="s">
        <v>174</v>
      </c>
      <c r="Y52" s="200">
        <v>43285</v>
      </c>
      <c r="Z52" s="193"/>
      <c r="AA52" s="193"/>
      <c r="AB52" s="22">
        <v>0</v>
      </c>
      <c r="AC52" s="170">
        <v>0</v>
      </c>
      <c r="AD52" s="209">
        <v>210</v>
      </c>
      <c r="AE52" s="194">
        <v>42457.8</v>
      </c>
      <c r="AF52" s="209"/>
      <c r="AG52" s="194"/>
      <c r="AH52" s="209"/>
      <c r="AI52" s="194"/>
      <c r="AJ52" s="232"/>
      <c r="AK52" s="170">
        <f t="shared" si="6"/>
        <v>42457.8</v>
      </c>
      <c r="AL52" s="272">
        <v>0</v>
      </c>
      <c r="AM52" s="212">
        <v>0</v>
      </c>
      <c r="AN52" s="269">
        <v>210</v>
      </c>
      <c r="AO52" s="217">
        <f t="shared" si="2"/>
        <v>42457.8</v>
      </c>
      <c r="AP52" s="232"/>
      <c r="AQ52" s="229"/>
      <c r="AR52" s="212">
        <v>202.18</v>
      </c>
      <c r="AS52" s="212">
        <f t="shared" si="3"/>
        <v>0</v>
      </c>
      <c r="AT52" s="227">
        <v>210</v>
      </c>
      <c r="AU52" s="228">
        <f t="shared" si="4"/>
        <v>42457.8</v>
      </c>
      <c r="AV52" s="279">
        <f t="shared" si="5"/>
        <v>210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161</v>
      </c>
      <c r="V53" s="115">
        <v>1053</v>
      </c>
      <c r="W53" s="114">
        <v>43255</v>
      </c>
      <c r="X53" s="193" t="s">
        <v>177</v>
      </c>
      <c r="Y53" s="200">
        <v>43285</v>
      </c>
      <c r="Z53" s="193" t="s">
        <v>178</v>
      </c>
      <c r="AA53" s="200">
        <v>43269</v>
      </c>
      <c r="AB53" s="22">
        <v>0</v>
      </c>
      <c r="AC53" s="170">
        <v>0</v>
      </c>
      <c r="AD53" s="209">
        <v>105</v>
      </c>
      <c r="AE53" s="194">
        <v>21228.9</v>
      </c>
      <c r="AF53" s="209"/>
      <c r="AG53" s="194"/>
      <c r="AH53" s="209"/>
      <c r="AI53" s="194"/>
      <c r="AJ53" s="232"/>
      <c r="AK53" s="170">
        <f t="shared" si="6"/>
        <v>21228.9</v>
      </c>
      <c r="AL53" s="272">
        <v>0</v>
      </c>
      <c r="AM53" s="212">
        <v>0</v>
      </c>
      <c r="AN53" s="269">
        <v>105</v>
      </c>
      <c r="AO53" s="217">
        <f t="shared" si="2"/>
        <v>21228.9</v>
      </c>
      <c r="AP53" s="232"/>
      <c r="AQ53" s="229"/>
      <c r="AR53" s="212">
        <v>202.18</v>
      </c>
      <c r="AS53" s="212">
        <f t="shared" si="3"/>
        <v>0</v>
      </c>
      <c r="AT53" s="227">
        <v>105</v>
      </c>
      <c r="AU53" s="228">
        <f t="shared" si="4"/>
        <v>21228.9</v>
      </c>
      <c r="AV53" s="279">
        <f t="shared" si="5"/>
        <v>105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187</v>
      </c>
      <c r="V54" s="115">
        <v>1418</v>
      </c>
      <c r="W54" s="114">
        <v>43312</v>
      </c>
      <c r="X54" s="193" t="s">
        <v>184</v>
      </c>
      <c r="Y54" s="200">
        <v>43332</v>
      </c>
      <c r="Z54" s="193" t="s">
        <v>185</v>
      </c>
      <c r="AA54" s="200">
        <v>43320</v>
      </c>
      <c r="AB54" s="22">
        <v>0</v>
      </c>
      <c r="AC54" s="170">
        <v>0</v>
      </c>
      <c r="AD54" s="209">
        <v>30</v>
      </c>
      <c r="AE54" s="194">
        <v>5880</v>
      </c>
      <c r="AF54" s="209"/>
      <c r="AG54" s="194"/>
      <c r="AH54" s="209"/>
      <c r="AI54" s="194"/>
      <c r="AJ54" s="232"/>
      <c r="AK54" s="170">
        <f t="shared" si="6"/>
        <v>5880</v>
      </c>
      <c r="AL54" s="272">
        <v>0</v>
      </c>
      <c r="AM54" s="212">
        <v>0</v>
      </c>
      <c r="AN54" s="269">
        <v>30</v>
      </c>
      <c r="AO54" s="217">
        <v>0</v>
      </c>
      <c r="AP54" s="232"/>
      <c r="AQ54" s="229"/>
      <c r="AR54" s="212">
        <v>196</v>
      </c>
      <c r="AS54" s="212">
        <f t="shared" si="3"/>
        <v>0</v>
      </c>
      <c r="AT54" s="227">
        <v>30</v>
      </c>
      <c r="AU54" s="228">
        <f t="shared" si="4"/>
        <v>5880</v>
      </c>
      <c r="AV54" s="279">
        <f t="shared" si="5"/>
        <v>30</v>
      </c>
    </row>
    <row r="55" spans="1:48" s="62" customFormat="1" ht="26.25" customHeight="1">
      <c r="A55" s="59"/>
      <c r="B55" s="60"/>
      <c r="C55" s="60"/>
      <c r="D55" s="22"/>
      <c r="E55" s="79"/>
      <c r="F55" s="53" t="s">
        <v>65</v>
      </c>
      <c r="G55" s="222" t="s">
        <v>111</v>
      </c>
      <c r="H55" s="193"/>
      <c r="I55" s="193"/>
      <c r="J55" s="193"/>
      <c r="K55" s="193"/>
      <c r="L55" s="243"/>
      <c r="M55" s="242"/>
      <c r="N55" s="243"/>
      <c r="O55" s="193"/>
      <c r="P55" s="243"/>
      <c r="Q55" s="193"/>
      <c r="R55" s="243"/>
      <c r="S55" s="193"/>
      <c r="T55" s="243"/>
      <c r="U55" s="203"/>
      <c r="V55" s="115"/>
      <c r="W55" s="114"/>
      <c r="X55" s="193"/>
      <c r="Y55" s="200"/>
      <c r="Z55" s="193"/>
      <c r="AA55" s="200"/>
      <c r="AB55" s="22"/>
      <c r="AC55" s="170"/>
      <c r="AD55" s="209"/>
      <c r="AE55" s="194"/>
      <c r="AF55" s="209"/>
      <c r="AG55" s="194"/>
      <c r="AH55" s="209"/>
      <c r="AI55" s="194"/>
      <c r="AJ55" s="232"/>
      <c r="AK55" s="170"/>
      <c r="AL55" s="272"/>
      <c r="AM55" s="212"/>
      <c r="AN55" s="269"/>
      <c r="AO55" s="217"/>
      <c r="AP55" s="232"/>
      <c r="AQ55" s="229"/>
      <c r="AR55" s="212"/>
      <c r="AS55" s="212"/>
      <c r="AT55" s="227">
        <v>30</v>
      </c>
      <c r="AU55" s="228"/>
      <c r="AV55" s="279">
        <f t="shared" si="5"/>
        <v>30</v>
      </c>
    </row>
    <row r="56" spans="1:48" s="62" customFormat="1" ht="26.25" hidden="1" customHeight="1">
      <c r="A56" s="59"/>
      <c r="B56" s="60"/>
      <c r="C56" s="60"/>
      <c r="D56" s="22"/>
      <c r="E56" s="79" t="s">
        <v>24</v>
      </c>
      <c r="F56" s="51" t="s">
        <v>249</v>
      </c>
      <c r="G56" s="275" t="s">
        <v>146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>
        <v>250</v>
      </c>
      <c r="P56" s="276">
        <v>66042.58</v>
      </c>
      <c r="Q56" s="115"/>
      <c r="R56" s="276"/>
      <c r="S56" s="115"/>
      <c r="T56" s="276"/>
      <c r="U56" s="278" t="s">
        <v>181</v>
      </c>
      <c r="V56" s="115">
        <v>1405</v>
      </c>
      <c r="W56" s="114">
        <v>43052</v>
      </c>
      <c r="X56" s="115" t="s">
        <v>182</v>
      </c>
      <c r="Y56" s="221">
        <v>43201</v>
      </c>
      <c r="Z56" s="115"/>
      <c r="AA56" s="115"/>
      <c r="AB56" s="22">
        <v>0</v>
      </c>
      <c r="AC56" s="170">
        <v>0</v>
      </c>
      <c r="AD56" s="208">
        <v>125</v>
      </c>
      <c r="AE56" s="170">
        <v>26255</v>
      </c>
      <c r="AF56" s="208"/>
      <c r="AG56" s="170"/>
      <c r="AH56" s="208"/>
      <c r="AI56" s="170"/>
      <c r="AJ56" s="232"/>
      <c r="AK56" s="170">
        <f t="shared" si="6"/>
        <v>26255</v>
      </c>
      <c r="AL56" s="270">
        <f>63+62</f>
        <v>125</v>
      </c>
      <c r="AM56" s="170">
        <v>26255</v>
      </c>
      <c r="AN56" s="270">
        <v>0</v>
      </c>
      <c r="AO56" s="170">
        <f t="shared" si="2"/>
        <v>0</v>
      </c>
      <c r="AP56" s="233"/>
      <c r="AQ56" s="233"/>
      <c r="AR56" s="170">
        <v>210.04</v>
      </c>
      <c r="AS56" s="170">
        <f t="shared" si="3"/>
        <v>0</v>
      </c>
      <c r="AT56" s="208">
        <v>0</v>
      </c>
      <c r="AU56" s="170">
        <f t="shared" si="4"/>
        <v>0</v>
      </c>
      <c r="AV56" s="233">
        <f t="shared" si="5"/>
        <v>0</v>
      </c>
    </row>
    <row r="57" spans="1:48" s="62" customFormat="1" ht="26.25" hidden="1" customHeight="1">
      <c r="A57" s="59"/>
      <c r="B57" s="60"/>
      <c r="C57" s="60"/>
      <c r="D57" s="22"/>
      <c r="E57" s="79" t="s">
        <v>24</v>
      </c>
      <c r="F57" s="51" t="s">
        <v>249</v>
      </c>
      <c r="G57" s="275" t="s">
        <v>146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145</v>
      </c>
      <c r="V57" s="115">
        <v>1381</v>
      </c>
      <c r="W57" s="114">
        <v>43047</v>
      </c>
      <c r="X57" s="115" t="s">
        <v>144</v>
      </c>
      <c r="Y57" s="221">
        <v>43201</v>
      </c>
      <c r="Z57" s="115"/>
      <c r="AA57" s="115"/>
      <c r="AB57" s="22">
        <v>0</v>
      </c>
      <c r="AC57" s="170">
        <v>0</v>
      </c>
      <c r="AD57" s="208">
        <v>80</v>
      </c>
      <c r="AE57" s="170">
        <v>16803.2</v>
      </c>
      <c r="AF57" s="208"/>
      <c r="AG57" s="170"/>
      <c r="AH57" s="208"/>
      <c r="AI57" s="170"/>
      <c r="AJ57" s="232"/>
      <c r="AK57" s="170">
        <f t="shared" si="6"/>
        <v>16803.2</v>
      </c>
      <c r="AL57" s="270">
        <v>80</v>
      </c>
      <c r="AM57" s="170">
        <v>16803.2</v>
      </c>
      <c r="AN57" s="270">
        <v>0</v>
      </c>
      <c r="AO57" s="170">
        <f t="shared" si="2"/>
        <v>0</v>
      </c>
      <c r="AP57" s="233"/>
      <c r="AQ57" s="233"/>
      <c r="AR57" s="170">
        <f>AM57/AL57</f>
        <v>210.04000000000002</v>
      </c>
      <c r="AS57" s="170">
        <f t="shared" si="3"/>
        <v>0</v>
      </c>
      <c r="AT57" s="208">
        <v>0</v>
      </c>
      <c r="AU57" s="170">
        <f t="shared" si="4"/>
        <v>0</v>
      </c>
      <c r="AV57" s="233">
        <f t="shared" si="5"/>
        <v>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148</v>
      </c>
      <c r="V58" s="115">
        <v>546</v>
      </c>
      <c r="W58" s="114">
        <v>43182</v>
      </c>
      <c r="X58" s="115" t="s">
        <v>149</v>
      </c>
      <c r="Y58" s="221">
        <v>43201</v>
      </c>
      <c r="Z58" s="115" t="s">
        <v>147</v>
      </c>
      <c r="AA58" s="221">
        <v>43252</v>
      </c>
      <c r="AB58" s="22">
        <v>0</v>
      </c>
      <c r="AC58" s="170">
        <v>0</v>
      </c>
      <c r="AD58" s="208">
        <v>10</v>
      </c>
      <c r="AE58" s="170">
        <v>2038.7</v>
      </c>
      <c r="AF58" s="208"/>
      <c r="AG58" s="170"/>
      <c r="AH58" s="208"/>
      <c r="AI58" s="170"/>
      <c r="AJ58" s="232"/>
      <c r="AK58" s="170">
        <f t="shared" si="6"/>
        <v>2038.7</v>
      </c>
      <c r="AL58" s="270">
        <v>10</v>
      </c>
      <c r="AM58" s="170">
        <v>2038.7</v>
      </c>
      <c r="AN58" s="270">
        <v>0</v>
      </c>
      <c r="AO58" s="170">
        <f t="shared" si="2"/>
        <v>0</v>
      </c>
      <c r="AP58" s="233"/>
      <c r="AQ58" s="233"/>
      <c r="AR58" s="170">
        <f>AM58/AL58</f>
        <v>203.87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customHeight="1">
      <c r="A59" s="59"/>
      <c r="B59" s="60"/>
      <c r="C59" s="60"/>
      <c r="D59" s="22"/>
      <c r="E59" s="79" t="s">
        <v>24</v>
      </c>
      <c r="F59" s="162" t="s">
        <v>68</v>
      </c>
      <c r="G59" s="222" t="s">
        <v>146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148</v>
      </c>
      <c r="V59" s="115">
        <v>834</v>
      </c>
      <c r="W59" s="114">
        <v>43222</v>
      </c>
      <c r="X59" s="193" t="s">
        <v>162</v>
      </c>
      <c r="Y59" s="200">
        <v>43242</v>
      </c>
      <c r="Z59" s="193"/>
      <c r="AA59" s="193"/>
      <c r="AB59" s="22">
        <v>0</v>
      </c>
      <c r="AC59" s="170">
        <v>0</v>
      </c>
      <c r="AD59" s="209">
        <v>10</v>
      </c>
      <c r="AE59" s="194">
        <v>2100.4</v>
      </c>
      <c r="AF59" s="209"/>
      <c r="AG59" s="194"/>
      <c r="AH59" s="209"/>
      <c r="AI59" s="194"/>
      <c r="AJ59" s="232"/>
      <c r="AK59" s="170">
        <f t="shared" si="6"/>
        <v>2100.4</v>
      </c>
      <c r="AL59" s="272">
        <v>0</v>
      </c>
      <c r="AM59" s="212">
        <v>0</v>
      </c>
      <c r="AN59" s="269">
        <v>10</v>
      </c>
      <c r="AO59" s="217">
        <f t="shared" si="2"/>
        <v>2100.4</v>
      </c>
      <c r="AP59" s="232"/>
      <c r="AQ59" s="229"/>
      <c r="AR59" s="212">
        <v>210.04</v>
      </c>
      <c r="AS59" s="212">
        <f t="shared" si="3"/>
        <v>0</v>
      </c>
      <c r="AT59" s="227">
        <v>10</v>
      </c>
      <c r="AU59" s="228">
        <f t="shared" si="4"/>
        <v>2100.4</v>
      </c>
      <c r="AV59" s="279">
        <f t="shared" si="5"/>
        <v>10</v>
      </c>
    </row>
    <row r="60" spans="1:48" s="62" customFormat="1" ht="26.25" customHeight="1">
      <c r="A60" s="59"/>
      <c r="B60" s="60"/>
      <c r="C60" s="60"/>
      <c r="D60" s="22"/>
      <c r="E60" s="79" t="s">
        <v>24</v>
      </c>
      <c r="F60" s="162" t="s">
        <v>68</v>
      </c>
      <c r="G60" s="222" t="s">
        <v>146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148</v>
      </c>
      <c r="V60" s="115">
        <v>1006</v>
      </c>
      <c r="W60" s="114">
        <v>43244</v>
      </c>
      <c r="X60" s="193" t="s">
        <v>179</v>
      </c>
      <c r="Y60" s="200">
        <v>43285</v>
      </c>
      <c r="Z60" s="193"/>
      <c r="AA60" s="193"/>
      <c r="AB60" s="22">
        <v>0</v>
      </c>
      <c r="AC60" s="170">
        <v>0</v>
      </c>
      <c r="AD60" s="209">
        <v>5</v>
      </c>
      <c r="AE60" s="194">
        <v>1019.35</v>
      </c>
      <c r="AF60" s="209"/>
      <c r="AG60" s="194"/>
      <c r="AH60" s="209"/>
      <c r="AI60" s="194"/>
      <c r="AJ60" s="232"/>
      <c r="AK60" s="170">
        <f t="shared" si="6"/>
        <v>1019.35</v>
      </c>
      <c r="AL60" s="272">
        <v>0</v>
      </c>
      <c r="AM60" s="212">
        <v>0</v>
      </c>
      <c r="AN60" s="269">
        <v>5</v>
      </c>
      <c r="AO60" s="217">
        <f t="shared" si="2"/>
        <v>1019.35</v>
      </c>
      <c r="AP60" s="232"/>
      <c r="AQ60" s="229"/>
      <c r="AR60" s="212">
        <v>203.87</v>
      </c>
      <c r="AS60" s="212">
        <f t="shared" si="3"/>
        <v>0</v>
      </c>
      <c r="AT60" s="227">
        <v>5</v>
      </c>
      <c r="AU60" s="228">
        <f t="shared" si="4"/>
        <v>1019.35</v>
      </c>
      <c r="AV60" s="279">
        <f t="shared" si="5"/>
        <v>5</v>
      </c>
    </row>
    <row r="61" spans="1:48" s="62" customFormat="1" ht="25.5" hidden="1" customHeight="1">
      <c r="A61" s="59"/>
      <c r="B61" s="60"/>
      <c r="C61" s="60"/>
      <c r="D61" s="22"/>
      <c r="E61" s="79" t="s">
        <v>24</v>
      </c>
      <c r="F61" s="51" t="s">
        <v>247</v>
      </c>
      <c r="G61" s="275" t="s">
        <v>114</v>
      </c>
      <c r="H61" s="115" t="s">
        <v>91</v>
      </c>
      <c r="I61" s="115" t="s">
        <v>91</v>
      </c>
      <c r="J61" s="115">
        <v>360</v>
      </c>
      <c r="K61" s="115">
        <v>1</v>
      </c>
      <c r="L61" s="276">
        <v>303.16000000000003</v>
      </c>
      <c r="M61" s="277">
        <f t="shared" si="0"/>
        <v>360</v>
      </c>
      <c r="N61" s="276">
        <f t="shared" si="1"/>
        <v>109137.60000000001</v>
      </c>
      <c r="O61" s="115">
        <v>180</v>
      </c>
      <c r="P61" s="276">
        <v>49667.4</v>
      </c>
      <c r="Q61" s="115">
        <v>360</v>
      </c>
      <c r="R61" s="276">
        <v>107470.8</v>
      </c>
      <c r="S61" s="115">
        <v>90</v>
      </c>
      <c r="T61" s="276">
        <v>27284.400000000001</v>
      </c>
      <c r="U61" s="278" t="s">
        <v>115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8</v>
      </c>
      <c r="AE61" s="170">
        <v>2388</v>
      </c>
      <c r="AF61" s="208"/>
      <c r="AG61" s="170"/>
      <c r="AH61" s="208"/>
      <c r="AI61" s="170"/>
      <c r="AJ61" s="232"/>
      <c r="AK61" s="170">
        <f t="shared" si="6"/>
        <v>2388</v>
      </c>
      <c r="AL61" s="270">
        <v>0</v>
      </c>
      <c r="AM61" s="170">
        <v>0</v>
      </c>
      <c r="AN61" s="270">
        <v>8</v>
      </c>
      <c r="AO61" s="170">
        <f t="shared" si="2"/>
        <v>2388</v>
      </c>
      <c r="AP61" s="233"/>
      <c r="AQ61" s="233"/>
      <c r="AR61" s="170">
        <v>298.5</v>
      </c>
      <c r="AS61" s="170">
        <f t="shared" si="3"/>
        <v>0</v>
      </c>
      <c r="AT61" s="233">
        <f>8-8</f>
        <v>0</v>
      </c>
      <c r="AU61" s="386">
        <f t="shared" si="4"/>
        <v>0</v>
      </c>
      <c r="AV61" s="233">
        <f t="shared" si="5"/>
        <v>0</v>
      </c>
    </row>
    <row r="62" spans="1:48" s="62" customFormat="1" ht="25.5" hidden="1" customHeight="1">
      <c r="A62" s="59"/>
      <c r="B62" s="60"/>
      <c r="C62" s="60"/>
      <c r="D62" s="22"/>
      <c r="E62" s="79" t="s">
        <v>24</v>
      </c>
      <c r="F62" s="51" t="s">
        <v>247</v>
      </c>
      <c r="G62" s="275" t="s">
        <v>114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137</v>
      </c>
      <c r="V62" s="115">
        <v>427</v>
      </c>
      <c r="W62" s="114">
        <v>43164</v>
      </c>
      <c r="X62" s="115" t="s">
        <v>138</v>
      </c>
      <c r="Y62" s="221">
        <v>43164</v>
      </c>
      <c r="Z62" s="115"/>
      <c r="AA62" s="115"/>
      <c r="AB62" s="22">
        <v>0</v>
      </c>
      <c r="AC62" s="170">
        <v>0</v>
      </c>
      <c r="AD62" s="208">
        <v>34</v>
      </c>
      <c r="AE62" s="170">
        <v>10149</v>
      </c>
      <c r="AF62" s="208"/>
      <c r="AG62" s="170"/>
      <c r="AH62" s="208"/>
      <c r="AI62" s="170"/>
      <c r="AJ62" s="232"/>
      <c r="AK62" s="170">
        <f t="shared" si="6"/>
        <v>10149</v>
      </c>
      <c r="AL62" s="270">
        <v>0</v>
      </c>
      <c r="AM62" s="170">
        <v>0</v>
      </c>
      <c r="AN62" s="270">
        <v>34</v>
      </c>
      <c r="AO62" s="170">
        <f t="shared" si="2"/>
        <v>10149</v>
      </c>
      <c r="AP62" s="233"/>
      <c r="AQ62" s="233"/>
      <c r="AR62" s="170">
        <v>298.5</v>
      </c>
      <c r="AS62" s="170">
        <f t="shared" si="3"/>
        <v>0</v>
      </c>
      <c r="AT62" s="233">
        <f>34-34</f>
        <v>0</v>
      </c>
      <c r="AU62" s="386">
        <f t="shared" si="4"/>
        <v>0</v>
      </c>
      <c r="AV62" s="233">
        <f t="shared" si="5"/>
        <v>0</v>
      </c>
    </row>
    <row r="63" spans="1:48" s="62" customFormat="1" ht="25.5" customHeight="1">
      <c r="A63" s="59"/>
      <c r="B63" s="60"/>
      <c r="C63" s="60"/>
      <c r="D63" s="22"/>
      <c r="E63" s="79" t="s">
        <v>24</v>
      </c>
      <c r="F63" s="140" t="s">
        <v>55</v>
      </c>
      <c r="G63" s="222" t="s">
        <v>114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153</v>
      </c>
      <c r="V63" s="115">
        <v>613</v>
      </c>
      <c r="W63" s="114">
        <v>43193</v>
      </c>
      <c r="X63" s="193">
        <v>97</v>
      </c>
      <c r="Y63" s="200">
        <v>43202</v>
      </c>
      <c r="Z63" s="193" t="s">
        <v>154</v>
      </c>
      <c r="AA63" s="200">
        <v>43214</v>
      </c>
      <c r="AB63" s="22">
        <v>0</v>
      </c>
      <c r="AC63" s="170">
        <v>0</v>
      </c>
      <c r="AD63" s="209">
        <v>270</v>
      </c>
      <c r="AE63" s="194">
        <v>80595</v>
      </c>
      <c r="AF63" s="209"/>
      <c r="AG63" s="194"/>
      <c r="AH63" s="209"/>
      <c r="AI63" s="194"/>
      <c r="AJ63" s="232"/>
      <c r="AK63" s="170">
        <f t="shared" si="6"/>
        <v>80595</v>
      </c>
      <c r="AL63" s="272">
        <v>0</v>
      </c>
      <c r="AM63" s="212">
        <v>0</v>
      </c>
      <c r="AN63" s="269">
        <v>270</v>
      </c>
      <c r="AO63" s="217">
        <f t="shared" si="2"/>
        <v>80595</v>
      </c>
      <c r="AP63" s="232"/>
      <c r="AQ63" s="229"/>
      <c r="AR63" s="212">
        <v>298.5</v>
      </c>
      <c r="AS63" s="212">
        <f t="shared" si="3"/>
        <v>0</v>
      </c>
      <c r="AT63" s="227">
        <f>270-16-60-180</f>
        <v>14</v>
      </c>
      <c r="AU63" s="228">
        <f t="shared" si="4"/>
        <v>4179</v>
      </c>
      <c r="AV63" s="279">
        <f t="shared" si="5"/>
        <v>14</v>
      </c>
    </row>
    <row r="64" spans="1:48" s="62" customFormat="1" ht="25.5" customHeight="1">
      <c r="A64" s="59"/>
      <c r="B64" s="60"/>
      <c r="C64" s="60"/>
      <c r="D64" s="22"/>
      <c r="E64" s="79" t="s">
        <v>24</v>
      </c>
      <c r="F64" s="140" t="s">
        <v>55</v>
      </c>
      <c r="G64" s="222" t="s">
        <v>114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115</v>
      </c>
      <c r="V64" s="115">
        <v>612</v>
      </c>
      <c r="W64" s="114">
        <v>43193</v>
      </c>
      <c r="X64" s="193">
        <v>97</v>
      </c>
      <c r="Y64" s="200">
        <v>43202</v>
      </c>
      <c r="Z64" s="193" t="s">
        <v>155</v>
      </c>
      <c r="AA64" s="200">
        <v>43214</v>
      </c>
      <c r="AB64" s="22">
        <v>0</v>
      </c>
      <c r="AC64" s="170">
        <v>0</v>
      </c>
      <c r="AD64" s="209">
        <v>40</v>
      </c>
      <c r="AE64" s="194">
        <v>11940</v>
      </c>
      <c r="AF64" s="209"/>
      <c r="AG64" s="194"/>
      <c r="AH64" s="209"/>
      <c r="AI64" s="194"/>
      <c r="AJ64" s="232"/>
      <c r="AK64" s="170">
        <f t="shared" si="6"/>
        <v>11940</v>
      </c>
      <c r="AL64" s="272">
        <v>0</v>
      </c>
      <c r="AM64" s="212">
        <v>0</v>
      </c>
      <c r="AN64" s="269">
        <v>40</v>
      </c>
      <c r="AO64" s="217">
        <f t="shared" si="2"/>
        <v>11940</v>
      </c>
      <c r="AP64" s="232"/>
      <c r="AQ64" s="229"/>
      <c r="AR64" s="212">
        <v>298.5</v>
      </c>
      <c r="AS64" s="212">
        <f t="shared" si="3"/>
        <v>0</v>
      </c>
      <c r="AT64" s="227">
        <v>40</v>
      </c>
      <c r="AU64" s="228">
        <f t="shared" si="4"/>
        <v>11940</v>
      </c>
      <c r="AV64" s="279">
        <f t="shared" si="5"/>
        <v>40</v>
      </c>
    </row>
    <row r="65" spans="1:48" s="62" customFormat="1" ht="25.5" customHeight="1">
      <c r="A65" s="59"/>
      <c r="B65" s="60"/>
      <c r="C65" s="60"/>
      <c r="D65" s="22"/>
      <c r="E65" s="79"/>
      <c r="F65" s="140" t="s">
        <v>55</v>
      </c>
      <c r="G65" s="222" t="s">
        <v>114</v>
      </c>
      <c r="H65" s="193"/>
      <c r="I65" s="193"/>
      <c r="J65" s="193"/>
      <c r="K65" s="193"/>
      <c r="L65" s="243"/>
      <c r="M65" s="242"/>
      <c r="N65" s="243"/>
      <c r="O65" s="193"/>
      <c r="P65" s="243"/>
      <c r="Q65" s="193"/>
      <c r="R65" s="243"/>
      <c r="S65" s="193"/>
      <c r="T65" s="243"/>
      <c r="U65" s="203" t="s">
        <v>244</v>
      </c>
      <c r="V65" s="115"/>
      <c r="W65" s="114"/>
      <c r="X65" s="193"/>
      <c r="Y65" s="200"/>
      <c r="Z65" s="193"/>
      <c r="AA65" s="200"/>
      <c r="AB65" s="22"/>
      <c r="AC65" s="170"/>
      <c r="AD65" s="209"/>
      <c r="AE65" s="194"/>
      <c r="AF65" s="209"/>
      <c r="AG65" s="194"/>
      <c r="AH65" s="209"/>
      <c r="AI65" s="194"/>
      <c r="AJ65" s="232"/>
      <c r="AK65" s="170"/>
      <c r="AL65" s="272"/>
      <c r="AM65" s="212"/>
      <c r="AN65" s="269"/>
      <c r="AO65" s="217"/>
      <c r="AP65" s="232"/>
      <c r="AQ65" s="229"/>
      <c r="AR65" s="212"/>
      <c r="AS65" s="212"/>
      <c r="AT65" s="227">
        <v>6</v>
      </c>
      <c r="AU65" s="228"/>
      <c r="AV65" s="279">
        <f t="shared" si="5"/>
        <v>6</v>
      </c>
    </row>
    <row r="66" spans="1:48" s="62" customFormat="1" ht="25.5" hidden="1" customHeight="1">
      <c r="A66" s="59"/>
      <c r="B66" s="60"/>
      <c r="C66" s="60"/>
      <c r="D66" s="22"/>
      <c r="E66" s="79" t="s">
        <v>24</v>
      </c>
      <c r="F66" s="51" t="s">
        <v>250</v>
      </c>
      <c r="G66" s="275" t="s">
        <v>140</v>
      </c>
      <c r="H66" s="115" t="s">
        <v>91</v>
      </c>
      <c r="I66" s="115" t="s">
        <v>91</v>
      </c>
      <c r="J66" s="115">
        <v>1080</v>
      </c>
      <c r="K66" s="115">
        <v>2</v>
      </c>
      <c r="L66" s="276">
        <v>304.58999999999997</v>
      </c>
      <c r="M66" s="277">
        <f t="shared" si="0"/>
        <v>2160</v>
      </c>
      <c r="N66" s="276">
        <f t="shared" si="1"/>
        <v>657914.39999999991</v>
      </c>
      <c r="O66" s="115">
        <v>180</v>
      </c>
      <c r="P66" s="276">
        <v>49908.6</v>
      </c>
      <c r="Q66" s="115">
        <v>1080</v>
      </c>
      <c r="R66" s="276">
        <v>323838</v>
      </c>
      <c r="S66" s="115">
        <v>602</v>
      </c>
      <c r="T66" s="276">
        <v>183363.18</v>
      </c>
      <c r="U66" s="278" t="s">
        <v>139</v>
      </c>
      <c r="V66" s="115">
        <v>427</v>
      </c>
      <c r="W66" s="114">
        <v>43164</v>
      </c>
      <c r="X66" s="115" t="s">
        <v>138</v>
      </c>
      <c r="Y66" s="221">
        <v>43164</v>
      </c>
      <c r="Z66" s="115"/>
      <c r="AA66" s="115"/>
      <c r="AB66" s="22">
        <v>0</v>
      </c>
      <c r="AC66" s="170">
        <v>0</v>
      </c>
      <c r="AD66" s="208">
        <v>56</v>
      </c>
      <c r="AE66" s="170">
        <v>16794.400000000001</v>
      </c>
      <c r="AF66" s="208"/>
      <c r="AG66" s="170"/>
      <c r="AH66" s="208"/>
      <c r="AI66" s="170"/>
      <c r="AJ66" s="232"/>
      <c r="AK66" s="170">
        <f t="shared" si="6"/>
        <v>16794.400000000001</v>
      </c>
      <c r="AL66" s="270">
        <v>0</v>
      </c>
      <c r="AM66" s="170">
        <v>0</v>
      </c>
      <c r="AN66" s="270">
        <v>56</v>
      </c>
      <c r="AO66" s="170">
        <f t="shared" si="2"/>
        <v>16794.400000000001</v>
      </c>
      <c r="AP66" s="233"/>
      <c r="AQ66" s="233"/>
      <c r="AR66" s="170">
        <v>299.89999999999998</v>
      </c>
      <c r="AS66" s="170">
        <f t="shared" si="3"/>
        <v>0</v>
      </c>
      <c r="AT66" s="233">
        <f>18-18</f>
        <v>0</v>
      </c>
      <c r="AU66" s="386">
        <f t="shared" si="4"/>
        <v>0</v>
      </c>
      <c r="AV66" s="279">
        <f t="shared" si="5"/>
        <v>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15"/>
      <c r="I67" s="115"/>
      <c r="J67" s="115"/>
      <c r="K67" s="115"/>
      <c r="L67" s="276"/>
      <c r="M67" s="277"/>
      <c r="N67" s="276"/>
      <c r="O67" s="115"/>
      <c r="P67" s="276"/>
      <c r="Q67" s="115"/>
      <c r="R67" s="276"/>
      <c r="S67" s="115"/>
      <c r="T67" s="276"/>
      <c r="U67" s="203" t="s">
        <v>262</v>
      </c>
      <c r="V67" s="115"/>
      <c r="W67" s="114"/>
      <c r="X67" s="115"/>
      <c r="Y67" s="221"/>
      <c r="Z67" s="115"/>
      <c r="AA67" s="115"/>
      <c r="AB67" s="22"/>
      <c r="AC67" s="170"/>
      <c r="AD67" s="208"/>
      <c r="AE67" s="170"/>
      <c r="AF67" s="208"/>
      <c r="AG67" s="170"/>
      <c r="AH67" s="208"/>
      <c r="AI67" s="170"/>
      <c r="AJ67" s="232">
        <v>234</v>
      </c>
      <c r="AK67" s="170"/>
      <c r="AL67" s="270"/>
      <c r="AM67" s="170"/>
      <c r="AN67" s="270"/>
      <c r="AO67" s="170"/>
      <c r="AP67" s="233"/>
      <c r="AQ67" s="233"/>
      <c r="AR67" s="170"/>
      <c r="AS67" s="170"/>
      <c r="AT67" s="227">
        <v>234</v>
      </c>
      <c r="AU67" s="386"/>
      <c r="AV67" s="279">
        <f t="shared" si="5"/>
        <v>234</v>
      </c>
    </row>
    <row r="68" spans="1:48" s="62" customFormat="1" ht="25.5" customHeight="1">
      <c r="A68" s="59"/>
      <c r="B68" s="60"/>
      <c r="C68" s="60"/>
      <c r="D68" s="22"/>
      <c r="E68" s="79"/>
      <c r="F68" s="140" t="s">
        <v>55</v>
      </c>
      <c r="G68" s="222" t="s">
        <v>114</v>
      </c>
      <c r="H68" s="115"/>
      <c r="I68" s="115"/>
      <c r="J68" s="115"/>
      <c r="K68" s="115"/>
      <c r="L68" s="276"/>
      <c r="M68" s="277"/>
      <c r="N68" s="276"/>
      <c r="O68" s="115"/>
      <c r="P68" s="276"/>
      <c r="Q68" s="115"/>
      <c r="R68" s="276"/>
      <c r="S68" s="115"/>
      <c r="T68" s="276"/>
      <c r="U68" s="203" t="s">
        <v>263</v>
      </c>
      <c r="V68" s="115"/>
      <c r="W68" s="114"/>
      <c r="X68" s="115"/>
      <c r="Y68" s="221"/>
      <c r="Z68" s="115"/>
      <c r="AA68" s="115"/>
      <c r="AB68" s="22"/>
      <c r="AC68" s="170"/>
      <c r="AD68" s="208"/>
      <c r="AE68" s="170"/>
      <c r="AF68" s="208"/>
      <c r="AG68" s="170"/>
      <c r="AH68" s="208"/>
      <c r="AI68" s="170"/>
      <c r="AJ68" s="232">
        <v>14</v>
      </c>
      <c r="AK68" s="170"/>
      <c r="AL68" s="270"/>
      <c r="AM68" s="170"/>
      <c r="AN68" s="270"/>
      <c r="AO68" s="170"/>
      <c r="AP68" s="233"/>
      <c r="AQ68" s="233"/>
      <c r="AR68" s="170"/>
      <c r="AS68" s="170"/>
      <c r="AT68" s="227">
        <v>14</v>
      </c>
      <c r="AU68" s="386"/>
      <c r="AV68" s="279">
        <f t="shared" si="5"/>
        <v>14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 t="shared" si="5"/>
        <v>36</v>
      </c>
    </row>
    <row r="70" spans="1:48" s="62" customFormat="1" ht="25.5" customHeight="1">
      <c r="A70" s="59"/>
      <c r="B70" s="60"/>
      <c r="C70" s="60"/>
      <c r="D70" s="22"/>
      <c r="E70" s="79" t="s">
        <v>24</v>
      </c>
      <c r="F70" s="173" t="s">
        <v>64</v>
      </c>
      <c r="G70" s="222" t="s">
        <v>140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157</v>
      </c>
      <c r="V70" s="115">
        <v>605</v>
      </c>
      <c r="W70" s="114">
        <v>43193</v>
      </c>
      <c r="X70" s="193">
        <v>97</v>
      </c>
      <c r="Y70" s="200">
        <v>43202</v>
      </c>
      <c r="Z70" s="193" t="s">
        <v>158</v>
      </c>
      <c r="AA70" s="200">
        <v>43216</v>
      </c>
      <c r="AB70" s="22">
        <v>0</v>
      </c>
      <c r="AC70" s="170">
        <v>0</v>
      </c>
      <c r="AD70" s="209">
        <v>510</v>
      </c>
      <c r="AE70" s="194">
        <v>152949</v>
      </c>
      <c r="AF70" s="209"/>
      <c r="AG70" s="194"/>
      <c r="AH70" s="209"/>
      <c r="AI70" s="194"/>
      <c r="AJ70" s="232"/>
      <c r="AK70" s="170">
        <f t="shared" si="6"/>
        <v>152949</v>
      </c>
      <c r="AL70" s="272">
        <v>0</v>
      </c>
      <c r="AM70" s="212">
        <v>0</v>
      </c>
      <c r="AN70" s="269">
        <v>510</v>
      </c>
      <c r="AO70" s="217">
        <f t="shared" si="2"/>
        <v>152949</v>
      </c>
      <c r="AP70" s="232"/>
      <c r="AQ70" s="229"/>
      <c r="AR70" s="212">
        <v>299.89999999999998</v>
      </c>
      <c r="AS70" s="212">
        <f t="shared" si="3"/>
        <v>0</v>
      </c>
      <c r="AT70" s="227">
        <f>510-42-60-60-120-60</f>
        <v>168</v>
      </c>
      <c r="AU70" s="228">
        <f t="shared" si="4"/>
        <v>50383.199999999997</v>
      </c>
      <c r="AV70" s="279">
        <f t="shared" si="5"/>
        <v>168</v>
      </c>
    </row>
    <row r="71" spans="1:48" s="62" customFormat="1" ht="25.5" customHeight="1">
      <c r="A71" s="59"/>
      <c r="B71" s="60"/>
      <c r="C71" s="60"/>
      <c r="D71" s="22"/>
      <c r="E71" s="79"/>
      <c r="F71" s="173" t="s">
        <v>64</v>
      </c>
      <c r="G71" s="222" t="s">
        <v>140</v>
      </c>
      <c r="H71" s="193"/>
      <c r="I71" s="193"/>
      <c r="J71" s="193"/>
      <c r="K71" s="193"/>
      <c r="L71" s="243"/>
      <c r="M71" s="242"/>
      <c r="N71" s="243"/>
      <c r="O71" s="193"/>
      <c r="P71" s="243"/>
      <c r="Q71" s="193"/>
      <c r="R71" s="243"/>
      <c r="S71" s="193"/>
      <c r="T71" s="243"/>
      <c r="U71" s="203" t="s">
        <v>244</v>
      </c>
      <c r="V71" s="115"/>
      <c r="W71" s="114"/>
      <c r="X71" s="193"/>
      <c r="Y71" s="200"/>
      <c r="Z71" s="193"/>
      <c r="AA71" s="200"/>
      <c r="AB71" s="22"/>
      <c r="AC71" s="170"/>
      <c r="AD71" s="209"/>
      <c r="AE71" s="194"/>
      <c r="AF71" s="209"/>
      <c r="AG71" s="194"/>
      <c r="AH71" s="209"/>
      <c r="AI71" s="194"/>
      <c r="AJ71" s="232"/>
      <c r="AK71" s="170"/>
      <c r="AL71" s="272"/>
      <c r="AM71" s="212"/>
      <c r="AN71" s="269"/>
      <c r="AO71" s="217"/>
      <c r="AP71" s="232"/>
      <c r="AQ71" s="229"/>
      <c r="AR71" s="212"/>
      <c r="AS71" s="212"/>
      <c r="AT71" s="227">
        <v>368</v>
      </c>
      <c r="AU71" s="228"/>
      <c r="AV71" s="279">
        <f t="shared" si="5"/>
        <v>368</v>
      </c>
    </row>
    <row r="72" spans="1:48" s="62" customFormat="1" ht="25.5" customHeight="1">
      <c r="A72" s="59"/>
      <c r="B72" s="60"/>
      <c r="C72" s="60"/>
      <c r="D72" s="22"/>
      <c r="E72" s="79"/>
      <c r="F72" s="173" t="s">
        <v>64</v>
      </c>
      <c r="G72" s="222" t="s">
        <v>140</v>
      </c>
      <c r="H72" s="193"/>
      <c r="I72" s="193"/>
      <c r="J72" s="193"/>
      <c r="K72" s="193"/>
      <c r="L72" s="243"/>
      <c r="M72" s="242"/>
      <c r="N72" s="243"/>
      <c r="O72" s="193"/>
      <c r="P72" s="243"/>
      <c r="Q72" s="193"/>
      <c r="R72" s="243"/>
      <c r="S72" s="193"/>
      <c r="T72" s="243"/>
      <c r="U72" s="203" t="s">
        <v>264</v>
      </c>
      <c r="V72" s="115"/>
      <c r="W72" s="114"/>
      <c r="X72" s="193"/>
      <c r="Y72" s="200"/>
      <c r="Z72" s="193"/>
      <c r="AA72" s="200"/>
      <c r="AB72" s="22"/>
      <c r="AC72" s="170"/>
      <c r="AD72" s="209"/>
      <c r="AE72" s="194"/>
      <c r="AF72" s="209"/>
      <c r="AG72" s="194"/>
      <c r="AH72" s="209"/>
      <c r="AI72" s="194"/>
      <c r="AJ72" s="232">
        <v>224</v>
      </c>
      <c r="AK72" s="170"/>
      <c r="AL72" s="272"/>
      <c r="AM72" s="212"/>
      <c r="AN72" s="269"/>
      <c r="AO72" s="217"/>
      <c r="AP72" s="232"/>
      <c r="AQ72" s="229"/>
      <c r="AR72" s="212"/>
      <c r="AS72" s="212"/>
      <c r="AT72" s="227">
        <v>224</v>
      </c>
      <c r="AU72" s="228"/>
      <c r="AV72" s="279">
        <f t="shared" si="5"/>
        <v>224</v>
      </c>
    </row>
    <row r="73" spans="1:48" s="62" customFormat="1" ht="25.5" customHeight="1">
      <c r="A73" s="59"/>
      <c r="B73" s="60"/>
      <c r="C73" s="60"/>
      <c r="D73" s="22"/>
      <c r="E73" s="79"/>
      <c r="F73" s="173" t="s">
        <v>64</v>
      </c>
      <c r="G73" s="222" t="s">
        <v>140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 t="s">
        <v>244</v>
      </c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>
        <v>176</v>
      </c>
      <c r="AK73" s="170"/>
      <c r="AL73" s="272"/>
      <c r="AM73" s="212"/>
      <c r="AN73" s="269"/>
      <c r="AO73" s="217"/>
      <c r="AP73" s="232"/>
      <c r="AQ73" s="229"/>
      <c r="AR73" s="212"/>
      <c r="AS73" s="212"/>
      <c r="AT73" s="227">
        <v>176</v>
      </c>
      <c r="AU73" s="228"/>
      <c r="AV73" s="279">
        <f t="shared" si="5"/>
        <v>176</v>
      </c>
    </row>
    <row r="74" spans="1:48" s="62" customFormat="1" ht="31.5">
      <c r="A74" s="59"/>
      <c r="B74" s="60"/>
      <c r="C74" s="60"/>
      <c r="D74" s="22"/>
      <c r="E74" s="79"/>
      <c r="F74" s="150" t="s">
        <v>57</v>
      </c>
      <c r="G74" s="222" t="s">
        <v>121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266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>
        <v>766</v>
      </c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766</v>
      </c>
      <c r="AU74" s="228"/>
      <c r="AV74" s="279">
        <f t="shared" si="5"/>
        <v>766</v>
      </c>
    </row>
    <row r="75" spans="1:48" s="62" customFormat="1" ht="31.5">
      <c r="A75" s="59"/>
      <c r="B75" s="60"/>
      <c r="C75" s="427"/>
      <c r="D75" s="22"/>
      <c r="E75" s="79"/>
      <c r="F75" s="150" t="s">
        <v>57</v>
      </c>
      <c r="G75" s="222" t="s">
        <v>121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266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450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450</v>
      </c>
      <c r="AU75" s="228"/>
      <c r="AV75" s="279">
        <f t="shared" si="5"/>
        <v>450</v>
      </c>
    </row>
    <row r="76" spans="1:48" s="62" customFormat="1" ht="31.5">
      <c r="A76" s="59"/>
      <c r="B76" s="60"/>
      <c r="C76" s="427"/>
      <c r="D76" s="22"/>
      <c r="E76" s="79"/>
      <c r="F76" s="150" t="s">
        <v>57</v>
      </c>
      <c r="G76" s="222" t="s">
        <v>279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266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610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610</v>
      </c>
      <c r="AU76" s="228"/>
      <c r="AV76" s="279">
        <f t="shared" si="5"/>
        <v>610</v>
      </c>
    </row>
    <row r="77" spans="1:48" s="62" customFormat="1" ht="26.25" customHeight="1">
      <c r="A77" s="59"/>
      <c r="B77" s="60"/>
      <c r="C77" s="60"/>
      <c r="D77" s="22"/>
      <c r="E77" s="79" t="s">
        <v>24</v>
      </c>
      <c r="F77" s="178" t="s">
        <v>58</v>
      </c>
      <c r="G77" s="222" t="s">
        <v>123</v>
      </c>
      <c r="H77" s="193" t="s">
        <v>91</v>
      </c>
      <c r="I77" s="193" t="s">
        <v>91</v>
      </c>
      <c r="J77" s="193">
        <v>5</v>
      </c>
      <c r="K77" s="193">
        <v>5</v>
      </c>
      <c r="L77" s="243">
        <v>2899.28</v>
      </c>
      <c r="M77" s="242">
        <f>J77*K77</f>
        <v>25</v>
      </c>
      <c r="N77" s="243">
        <f t="shared" si="1"/>
        <v>72482</v>
      </c>
      <c r="O77" s="193">
        <v>4</v>
      </c>
      <c r="P77" s="243">
        <v>8377.6</v>
      </c>
      <c r="Q77" s="193"/>
      <c r="R77" s="243"/>
      <c r="S77" s="193"/>
      <c r="T77" s="243"/>
      <c r="U77" s="203" t="s">
        <v>122</v>
      </c>
      <c r="V77" s="115">
        <v>1745</v>
      </c>
      <c r="W77" s="114">
        <v>43096</v>
      </c>
      <c r="X77" s="193" t="s">
        <v>117</v>
      </c>
      <c r="Y77" s="200">
        <v>43109</v>
      </c>
      <c r="Z77" s="193" t="s">
        <v>118</v>
      </c>
      <c r="AA77" s="200">
        <v>43133</v>
      </c>
      <c r="AB77" s="22">
        <v>0</v>
      </c>
      <c r="AC77" s="170">
        <v>0</v>
      </c>
      <c r="AD77" s="209">
        <v>4</v>
      </c>
      <c r="AE77" s="194">
        <v>9062.24</v>
      </c>
      <c r="AF77" s="209"/>
      <c r="AG77" s="194"/>
      <c r="AH77" s="209"/>
      <c r="AI77" s="194"/>
      <c r="AJ77" s="232"/>
      <c r="AK77" s="170">
        <f t="shared" si="6"/>
        <v>9062.24</v>
      </c>
      <c r="AL77" s="272">
        <v>0</v>
      </c>
      <c r="AM77" s="212">
        <v>0</v>
      </c>
      <c r="AN77" s="269">
        <v>4</v>
      </c>
      <c r="AO77" s="217">
        <f t="shared" ref="AO77:AO82" si="7">AC77+AK77-AM77</f>
        <v>9062.24</v>
      </c>
      <c r="AP77" s="232"/>
      <c r="AQ77" s="229"/>
      <c r="AR77" s="212">
        <v>2265.56</v>
      </c>
      <c r="AS77" s="212">
        <f t="shared" si="3"/>
        <v>0</v>
      </c>
      <c r="AT77" s="227">
        <v>4</v>
      </c>
      <c r="AU77" s="228">
        <f t="shared" si="4"/>
        <v>9062.24</v>
      </c>
      <c r="AV77" s="279">
        <f t="shared" si="5"/>
        <v>4</v>
      </c>
    </row>
    <row r="78" spans="1:48" s="62" customFormat="1" ht="26.25" customHeight="1">
      <c r="A78" s="59"/>
      <c r="B78" s="60"/>
      <c r="C78" s="60"/>
      <c r="D78" s="22"/>
      <c r="E78" s="79" t="s">
        <v>24</v>
      </c>
      <c r="F78" s="178" t="s">
        <v>58</v>
      </c>
      <c r="G78" s="222" t="s">
        <v>123</v>
      </c>
      <c r="H78" s="193" t="s">
        <v>91</v>
      </c>
      <c r="I78" s="193" t="s">
        <v>91</v>
      </c>
      <c r="J78" s="193"/>
      <c r="K78" s="193"/>
      <c r="L78" s="243"/>
      <c r="M78" s="242">
        <f t="shared" ref="M78:M82" si="8">J78*K78</f>
        <v>0</v>
      </c>
      <c r="N78" s="243">
        <f>L78*M78</f>
        <v>0</v>
      </c>
      <c r="O78" s="193"/>
      <c r="P78" s="243"/>
      <c r="Q78" s="193"/>
      <c r="R78" s="243"/>
      <c r="S78" s="193"/>
      <c r="T78" s="243"/>
      <c r="U78" s="203" t="s">
        <v>170</v>
      </c>
      <c r="V78" s="115">
        <v>834</v>
      </c>
      <c r="W78" s="114">
        <v>43222</v>
      </c>
      <c r="X78" s="193" t="s">
        <v>162</v>
      </c>
      <c r="Y78" s="200">
        <v>43242</v>
      </c>
      <c r="Z78" s="193"/>
      <c r="AA78" s="193"/>
      <c r="AB78" s="22">
        <v>0</v>
      </c>
      <c r="AC78" s="170">
        <v>0</v>
      </c>
      <c r="AD78" s="209">
        <v>2</v>
      </c>
      <c r="AE78" s="194">
        <v>4531.12</v>
      </c>
      <c r="AF78" s="209"/>
      <c r="AG78" s="194"/>
      <c r="AH78" s="209"/>
      <c r="AI78" s="194"/>
      <c r="AJ78" s="232"/>
      <c r="AK78" s="170">
        <f t="shared" si="6"/>
        <v>4531.12</v>
      </c>
      <c r="AL78" s="272">
        <v>0</v>
      </c>
      <c r="AM78" s="212">
        <v>0</v>
      </c>
      <c r="AN78" s="269">
        <v>2</v>
      </c>
      <c r="AO78" s="217">
        <f t="shared" si="7"/>
        <v>4531.12</v>
      </c>
      <c r="AP78" s="232"/>
      <c r="AQ78" s="229"/>
      <c r="AR78" s="212">
        <v>2265.56</v>
      </c>
      <c r="AS78" s="212">
        <f t="shared" si="3"/>
        <v>0</v>
      </c>
      <c r="AT78" s="227">
        <v>2</v>
      </c>
      <c r="AU78" s="228">
        <f t="shared" si="4"/>
        <v>4531.12</v>
      </c>
      <c r="AV78" s="279">
        <f t="shared" si="5"/>
        <v>2</v>
      </c>
    </row>
    <row r="79" spans="1:48" s="62" customFormat="1" ht="26.25" customHeight="1">
      <c r="A79" s="59"/>
      <c r="B79" s="60"/>
      <c r="C79" s="60"/>
      <c r="D79" s="22"/>
      <c r="E79" s="79" t="s">
        <v>24</v>
      </c>
      <c r="F79" s="161" t="s">
        <v>61</v>
      </c>
      <c r="G79" s="222" t="s">
        <v>127</v>
      </c>
      <c r="H79" s="193" t="s">
        <v>91</v>
      </c>
      <c r="I79" s="193" t="s">
        <v>91</v>
      </c>
      <c r="J79" s="193">
        <v>48</v>
      </c>
      <c r="K79" s="193">
        <v>3</v>
      </c>
      <c r="L79" s="243">
        <v>71.97</v>
      </c>
      <c r="M79" s="242">
        <f t="shared" si="8"/>
        <v>144</v>
      </c>
      <c r="N79" s="243">
        <f t="shared" ref="N79:N82" si="9">L79*M79</f>
        <v>10363.68</v>
      </c>
      <c r="O79" s="193">
        <v>14</v>
      </c>
      <c r="P79" s="243">
        <v>714.98</v>
      </c>
      <c r="Q79" s="193"/>
      <c r="R79" s="243"/>
      <c r="S79" s="193"/>
      <c r="T79" s="243"/>
      <c r="U79" s="203" t="s">
        <v>128</v>
      </c>
      <c r="V79" s="115">
        <v>135</v>
      </c>
      <c r="W79" s="114">
        <v>42761</v>
      </c>
      <c r="X79" s="193" t="s">
        <v>126</v>
      </c>
      <c r="Y79" s="200">
        <v>43130</v>
      </c>
      <c r="Z79" s="193"/>
      <c r="AA79" s="193"/>
      <c r="AB79" s="22">
        <v>0</v>
      </c>
      <c r="AC79" s="170">
        <v>0</v>
      </c>
      <c r="AD79" s="209">
        <v>14</v>
      </c>
      <c r="AE79" s="194">
        <v>774.48</v>
      </c>
      <c r="AF79" s="209"/>
      <c r="AG79" s="194"/>
      <c r="AH79" s="209"/>
      <c r="AI79" s="194"/>
      <c r="AJ79" s="232"/>
      <c r="AK79" s="170">
        <f t="shared" si="6"/>
        <v>774.48</v>
      </c>
      <c r="AL79" s="272">
        <v>0</v>
      </c>
      <c r="AM79" s="212">
        <v>0</v>
      </c>
      <c r="AN79" s="269">
        <v>14</v>
      </c>
      <c r="AO79" s="217">
        <f t="shared" si="7"/>
        <v>774.48</v>
      </c>
      <c r="AP79" s="232"/>
      <c r="AQ79" s="229"/>
      <c r="AR79" s="212">
        <v>55.32</v>
      </c>
      <c r="AS79" s="212">
        <f t="shared" si="3"/>
        <v>0</v>
      </c>
      <c r="AT79" s="227">
        <f>14-2</f>
        <v>12</v>
      </c>
      <c r="AU79" s="228">
        <f t="shared" si="4"/>
        <v>663.84</v>
      </c>
      <c r="AV79" s="279">
        <f t="shared" si="5"/>
        <v>12</v>
      </c>
    </row>
    <row r="80" spans="1:48" s="62" customFormat="1" ht="26.25" customHeight="1">
      <c r="A80" s="59"/>
      <c r="B80" s="60"/>
      <c r="C80" s="60"/>
      <c r="D80" s="22"/>
      <c r="E80" s="79" t="s">
        <v>24</v>
      </c>
      <c r="F80" s="161" t="s">
        <v>61</v>
      </c>
      <c r="G80" s="222" t="s">
        <v>127</v>
      </c>
      <c r="H80" s="193" t="s">
        <v>91</v>
      </c>
      <c r="I80" s="193" t="s">
        <v>91</v>
      </c>
      <c r="J80" s="193"/>
      <c r="K80" s="193"/>
      <c r="L80" s="243"/>
      <c r="M80" s="242">
        <f t="shared" si="8"/>
        <v>0</v>
      </c>
      <c r="N80" s="243">
        <f t="shared" si="9"/>
        <v>0</v>
      </c>
      <c r="O80" s="193"/>
      <c r="P80" s="243"/>
      <c r="Q80" s="193"/>
      <c r="R80" s="243"/>
      <c r="S80" s="193"/>
      <c r="T80" s="243"/>
      <c r="U80" s="203" t="s">
        <v>171</v>
      </c>
      <c r="V80" s="115">
        <v>834</v>
      </c>
      <c r="W80" s="114">
        <v>43222</v>
      </c>
      <c r="X80" s="193" t="s">
        <v>162</v>
      </c>
      <c r="Y80" s="200">
        <v>43242</v>
      </c>
      <c r="Z80" s="193"/>
      <c r="AA80" s="193"/>
      <c r="AB80" s="22">
        <v>0</v>
      </c>
      <c r="AC80" s="170">
        <v>0</v>
      </c>
      <c r="AD80" s="209">
        <v>26</v>
      </c>
      <c r="AE80" s="194">
        <v>1438.32</v>
      </c>
      <c r="AF80" s="209"/>
      <c r="AG80" s="194"/>
      <c r="AH80" s="209"/>
      <c r="AI80" s="194"/>
      <c r="AJ80" s="232"/>
      <c r="AK80" s="170">
        <f t="shared" si="6"/>
        <v>1438.32</v>
      </c>
      <c r="AL80" s="272">
        <v>0</v>
      </c>
      <c r="AM80" s="212">
        <v>0</v>
      </c>
      <c r="AN80" s="269">
        <v>26</v>
      </c>
      <c r="AO80" s="217">
        <f t="shared" si="7"/>
        <v>1438.32</v>
      </c>
      <c r="AP80" s="232"/>
      <c r="AQ80" s="229"/>
      <c r="AR80" s="212">
        <v>55.32</v>
      </c>
      <c r="AS80" s="212">
        <f t="shared" ref="AS80:AS82" si="10">AQ80*AR80</f>
        <v>0</v>
      </c>
      <c r="AT80" s="227">
        <v>26</v>
      </c>
      <c r="AU80" s="228">
        <f t="shared" ref="AU80:AU82" si="11">AT80*AR80</f>
        <v>1438.32</v>
      </c>
      <c r="AV80" s="279">
        <f t="shared" ref="AV80:AV82" si="12">AT80</f>
        <v>26</v>
      </c>
    </row>
    <row r="81" spans="1:48" s="62" customFormat="1" ht="26.25" customHeight="1">
      <c r="A81" s="59"/>
      <c r="B81" s="60"/>
      <c r="C81" s="60"/>
      <c r="D81" s="22"/>
      <c r="E81" s="79" t="s">
        <v>24</v>
      </c>
      <c r="F81" s="179" t="s">
        <v>62</v>
      </c>
      <c r="G81" s="222" t="s">
        <v>129</v>
      </c>
      <c r="H81" s="193" t="s">
        <v>91</v>
      </c>
      <c r="I81" s="193" t="s">
        <v>91</v>
      </c>
      <c r="J81" s="193">
        <v>24</v>
      </c>
      <c r="K81" s="193">
        <v>4</v>
      </c>
      <c r="L81" s="243">
        <v>984.1</v>
      </c>
      <c r="M81" s="242">
        <f t="shared" si="8"/>
        <v>96</v>
      </c>
      <c r="N81" s="243">
        <f t="shared" si="9"/>
        <v>94473.600000000006</v>
      </c>
      <c r="O81" s="193">
        <v>6</v>
      </c>
      <c r="P81" s="243">
        <v>4721.3999999999996</v>
      </c>
      <c r="Q81" s="193"/>
      <c r="R81" s="243"/>
      <c r="S81" s="193"/>
      <c r="T81" s="243"/>
      <c r="U81" s="203" t="s">
        <v>130</v>
      </c>
      <c r="V81" s="115">
        <v>135</v>
      </c>
      <c r="W81" s="114">
        <v>42761</v>
      </c>
      <c r="X81" s="193" t="s">
        <v>126</v>
      </c>
      <c r="Y81" s="200">
        <v>43130</v>
      </c>
      <c r="Z81" s="193"/>
      <c r="AA81" s="193"/>
      <c r="AB81" s="22">
        <v>0</v>
      </c>
      <c r="AC81" s="170">
        <v>0</v>
      </c>
      <c r="AD81" s="209">
        <v>6</v>
      </c>
      <c r="AE81" s="194">
        <v>4549.08</v>
      </c>
      <c r="AF81" s="209"/>
      <c r="AG81" s="194"/>
      <c r="AH81" s="209"/>
      <c r="AI81" s="194"/>
      <c r="AJ81" s="232"/>
      <c r="AK81" s="170">
        <f t="shared" ref="AK81:AK82" si="13">AE81+AG81+AI81</f>
        <v>4549.08</v>
      </c>
      <c r="AL81" s="272">
        <v>0</v>
      </c>
      <c r="AM81" s="212">
        <v>0</v>
      </c>
      <c r="AN81" s="269">
        <v>6</v>
      </c>
      <c r="AO81" s="217">
        <f t="shared" si="7"/>
        <v>4549.08</v>
      </c>
      <c r="AP81" s="232"/>
      <c r="AQ81" s="229"/>
      <c r="AR81" s="212">
        <v>758.18</v>
      </c>
      <c r="AS81" s="212">
        <f t="shared" si="10"/>
        <v>0</v>
      </c>
      <c r="AT81" s="227">
        <v>6</v>
      </c>
      <c r="AU81" s="228">
        <f t="shared" si="11"/>
        <v>4549.08</v>
      </c>
      <c r="AV81" s="279">
        <f t="shared" si="12"/>
        <v>6</v>
      </c>
    </row>
    <row r="82" spans="1:48" s="62" customFormat="1" ht="26.25" customHeight="1">
      <c r="A82" s="59"/>
      <c r="B82" s="60"/>
      <c r="C82" s="60"/>
      <c r="D82" s="22"/>
      <c r="E82" s="79" t="s">
        <v>24</v>
      </c>
      <c r="F82" s="179" t="s">
        <v>62</v>
      </c>
      <c r="G82" s="222" t="s">
        <v>129</v>
      </c>
      <c r="H82" s="193" t="s">
        <v>91</v>
      </c>
      <c r="I82" s="193" t="s">
        <v>91</v>
      </c>
      <c r="J82" s="193"/>
      <c r="K82" s="193"/>
      <c r="L82" s="243"/>
      <c r="M82" s="242">
        <f t="shared" si="8"/>
        <v>0</v>
      </c>
      <c r="N82" s="243">
        <f t="shared" si="9"/>
        <v>0</v>
      </c>
      <c r="O82" s="193"/>
      <c r="P82" s="243"/>
      <c r="Q82" s="193"/>
      <c r="R82" s="243"/>
      <c r="S82" s="193"/>
      <c r="T82" s="243"/>
      <c r="U82" s="203" t="s">
        <v>172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10</v>
      </c>
      <c r="AE82" s="194">
        <v>7581.8</v>
      </c>
      <c r="AF82" s="209"/>
      <c r="AG82" s="194"/>
      <c r="AH82" s="209"/>
      <c r="AI82" s="194"/>
      <c r="AJ82" s="232"/>
      <c r="AK82" s="170">
        <f t="shared" si="13"/>
        <v>7581.8</v>
      </c>
      <c r="AL82" s="272">
        <v>0</v>
      </c>
      <c r="AM82" s="212">
        <v>0</v>
      </c>
      <c r="AN82" s="269">
        <v>10</v>
      </c>
      <c r="AO82" s="217">
        <f t="shared" si="7"/>
        <v>7581.8</v>
      </c>
      <c r="AP82" s="232"/>
      <c r="AQ82" s="229"/>
      <c r="AR82" s="212">
        <v>758.18</v>
      </c>
      <c r="AS82" s="212">
        <f t="shared" si="10"/>
        <v>0</v>
      </c>
      <c r="AT82" s="227">
        <v>10</v>
      </c>
      <c r="AU82" s="228">
        <f t="shared" si="11"/>
        <v>7581.7999999999993</v>
      </c>
      <c r="AV82" s="279">
        <f t="shared" si="12"/>
        <v>10</v>
      </c>
    </row>
    <row r="83" spans="1:48" s="62" customFormat="1" ht="26.25" customHeight="1">
      <c r="A83" s="59"/>
      <c r="B83" s="60"/>
      <c r="C83" s="60"/>
      <c r="D83" s="22"/>
      <c r="E83" s="79"/>
      <c r="F83" s="179" t="s">
        <v>62</v>
      </c>
      <c r="G83" s="222" t="s">
        <v>129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/>
      <c r="V83" s="115"/>
      <c r="W83" s="114"/>
      <c r="X83" s="193"/>
      <c r="Y83" s="200"/>
      <c r="Z83" s="193"/>
      <c r="AA83" s="193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4</v>
      </c>
      <c r="AU83" s="228"/>
      <c r="AV83" s="279">
        <v>4</v>
      </c>
    </row>
    <row r="84" spans="1:48" s="251" customFormat="1" ht="21" customHeight="1">
      <c r="A84" s="20" t="s">
        <v>11</v>
      </c>
      <c r="B84" s="20"/>
      <c r="C84" s="20"/>
      <c r="D84" s="695" t="s">
        <v>34</v>
      </c>
      <c r="E84" s="696"/>
      <c r="F84" s="697"/>
      <c r="G84" s="246"/>
      <c r="H84" s="246"/>
      <c r="I84" s="246"/>
      <c r="J84" s="246"/>
      <c r="K84" s="247">
        <f>SUM(K17:K83)</f>
        <v>25</v>
      </c>
      <c r="L84" s="248"/>
      <c r="M84" s="246"/>
      <c r="N84" s="249">
        <f>SUM(N17:N83)</f>
        <v>2265445.04</v>
      </c>
      <c r="O84" s="248"/>
      <c r="P84" s="249">
        <f>SUM(P17:P83)</f>
        <v>1348643.8</v>
      </c>
      <c r="Q84" s="248"/>
      <c r="R84" s="249">
        <f>SUM(R17:R83)</f>
        <v>1035525.6</v>
      </c>
      <c r="S84" s="248"/>
      <c r="T84" s="249">
        <f>SUM(T17:T83)</f>
        <v>493933.38</v>
      </c>
      <c r="U84" s="291" t="s">
        <v>156</v>
      </c>
      <c r="V84" s="291" t="s">
        <v>156</v>
      </c>
      <c r="W84" s="291" t="s">
        <v>156</v>
      </c>
      <c r="X84" s="250" t="s">
        <v>156</v>
      </c>
      <c r="Y84" s="250" t="s">
        <v>156</v>
      </c>
      <c r="Z84" s="250" t="s">
        <v>156</v>
      </c>
      <c r="AA84" s="250" t="s">
        <v>156</v>
      </c>
      <c r="AB84" s="176">
        <f>SUM(AB17:AB34)</f>
        <v>350</v>
      </c>
      <c r="AC84" s="171">
        <f>SUM(AC17:AC61)</f>
        <v>190344.16</v>
      </c>
      <c r="AD84" s="210">
        <f t="shared" ref="AD84:AQ84" si="14">SUM(AD17:AD83)</f>
        <v>5451</v>
      </c>
      <c r="AE84" s="195">
        <f t="shared" si="14"/>
        <v>1221314.8600000001</v>
      </c>
      <c r="AF84" s="210">
        <f t="shared" si="14"/>
        <v>0</v>
      </c>
      <c r="AG84" s="195">
        <f t="shared" si="14"/>
        <v>0</v>
      </c>
      <c r="AH84" s="210">
        <f t="shared" si="14"/>
        <v>0</v>
      </c>
      <c r="AI84" s="195">
        <f t="shared" si="14"/>
        <v>0</v>
      </c>
      <c r="AJ84" s="210">
        <f t="shared" si="14"/>
        <v>2856</v>
      </c>
      <c r="AK84" s="175">
        <f t="shared" si="14"/>
        <v>1221314.8600000001</v>
      </c>
      <c r="AL84" s="213">
        <f t="shared" si="14"/>
        <v>847</v>
      </c>
      <c r="AM84" s="214">
        <f t="shared" si="14"/>
        <v>232006.65000000002</v>
      </c>
      <c r="AN84" s="218">
        <f t="shared" si="14"/>
        <v>4954</v>
      </c>
      <c r="AO84" s="219">
        <f t="shared" si="14"/>
        <v>1163059.4400000002</v>
      </c>
      <c r="AP84" s="286">
        <f t="shared" si="14"/>
        <v>0</v>
      </c>
      <c r="AQ84" s="287">
        <f t="shared" si="14"/>
        <v>0</v>
      </c>
      <c r="AR84" s="226" t="s">
        <v>156</v>
      </c>
      <c r="AS84" s="226">
        <f>SUM(AS17:AS83)</f>
        <v>0</v>
      </c>
      <c r="AT84" s="227">
        <f>SUM(AT17:AT83)</f>
        <v>6474</v>
      </c>
      <c r="AU84" s="228">
        <f>SUM(AU17:AU83)</f>
        <v>779473.28999999992</v>
      </c>
      <c r="AV84" s="510">
        <f>SUM(AV17:AV83)</f>
        <v>6474</v>
      </c>
    </row>
    <row r="85" spans="1:48" s="336" customFormat="1" ht="21" customHeight="1">
      <c r="A85" s="20"/>
      <c r="B85" s="20"/>
      <c r="C85" s="20"/>
      <c r="D85" s="294"/>
      <c r="E85" s="294"/>
      <c r="F85" s="294"/>
      <c r="G85" s="330"/>
      <c r="H85" s="330"/>
      <c r="I85" s="330"/>
      <c r="J85" s="330"/>
      <c r="K85" s="331"/>
      <c r="L85" s="332"/>
      <c r="M85" s="330"/>
      <c r="N85" s="333"/>
      <c r="O85" s="332"/>
      <c r="P85" s="333"/>
      <c r="Q85" s="332"/>
      <c r="R85" s="333"/>
      <c r="S85" s="332"/>
      <c r="T85" s="333"/>
      <c r="U85" s="295"/>
      <c r="V85" s="295"/>
      <c r="W85" s="295"/>
      <c r="X85" s="295"/>
      <c r="Y85" s="295"/>
      <c r="Z85" s="295"/>
      <c r="AA85" s="295"/>
      <c r="AB85" s="296"/>
      <c r="AC85" s="297"/>
      <c r="AD85" s="296"/>
      <c r="AE85" s="297"/>
      <c r="AF85" s="296"/>
      <c r="AG85" s="297"/>
      <c r="AH85" s="296"/>
      <c r="AI85" s="297"/>
      <c r="AJ85" s="478"/>
      <c r="AK85" s="299"/>
      <c r="AL85" s="334"/>
      <c r="AM85" s="297"/>
      <c r="AN85" s="296"/>
      <c r="AO85" s="297"/>
      <c r="AP85" s="298"/>
      <c r="AQ85" s="335"/>
      <c r="AR85" s="333"/>
      <c r="AS85" s="333"/>
      <c r="AT85" s="331"/>
      <c r="AU85" s="333"/>
      <c r="AV85" s="331"/>
    </row>
    <row r="86" spans="1:48" s="336" customFormat="1" ht="21" hidden="1" customHeight="1">
      <c r="A86" s="20"/>
      <c r="B86" s="20"/>
      <c r="C86" s="20"/>
      <c r="D86" s="294"/>
      <c r="E86" s="294"/>
      <c r="F86" s="294"/>
      <c r="G86" s="330"/>
      <c r="H86" s="330"/>
      <c r="I86" s="330"/>
      <c r="J86" s="330"/>
      <c r="K86" s="331"/>
      <c r="L86" s="332"/>
      <c r="M86" s="330"/>
      <c r="N86" s="333"/>
      <c r="O86" s="332"/>
      <c r="P86" s="333"/>
      <c r="Q86" s="332"/>
      <c r="R86" s="333"/>
      <c r="S86" s="332"/>
      <c r="T86" s="333"/>
      <c r="U86" s="295"/>
      <c r="V86" s="295"/>
      <c r="W86" s="295"/>
      <c r="X86" s="295"/>
      <c r="Y86" s="295"/>
      <c r="Z86" s="295"/>
      <c r="AA86" s="295"/>
      <c r="AB86" s="296"/>
      <c r="AC86" s="297"/>
      <c r="AD86" s="296"/>
      <c r="AE86" s="297"/>
      <c r="AF86" s="296"/>
      <c r="AG86" s="297"/>
      <c r="AH86" s="296"/>
      <c r="AI86" s="297"/>
      <c r="AJ86" s="478"/>
      <c r="AK86" s="299"/>
      <c r="AL86" s="334"/>
      <c r="AM86" s="297"/>
      <c r="AN86" s="296"/>
      <c r="AO86" s="297"/>
      <c r="AP86" s="298"/>
      <c r="AQ86" s="335"/>
      <c r="AR86" s="333"/>
      <c r="AS86" s="333"/>
      <c r="AT86" s="331"/>
      <c r="AU86" s="333"/>
      <c r="AV86" s="331"/>
    </row>
    <row r="87" spans="1:48" s="292" customFormat="1" ht="20.25" hidden="1">
      <c r="A87" s="301"/>
      <c r="B87" s="301"/>
      <c r="C87" s="301"/>
      <c r="D87" s="302"/>
      <c r="E87" s="301"/>
      <c r="F87" s="303" t="s">
        <v>205</v>
      </c>
      <c r="G87" s="303"/>
      <c r="H87" s="303" t="s">
        <v>208</v>
      </c>
      <c r="I87" s="303"/>
      <c r="J87" s="304"/>
      <c r="K87" s="304"/>
      <c r="L87" s="304"/>
      <c r="M87" s="304"/>
      <c r="N87" s="304"/>
      <c r="O87" s="304"/>
      <c r="P87" s="304"/>
      <c r="Q87" s="304"/>
      <c r="R87" s="304"/>
      <c r="S87" s="304"/>
      <c r="T87" s="304"/>
      <c r="U87" s="303"/>
      <c r="V87" s="303"/>
      <c r="X87" s="303"/>
      <c r="Y87" s="303"/>
      <c r="Z87" s="303"/>
      <c r="AA87" s="303" t="s">
        <v>208</v>
      </c>
      <c r="AB87" s="303"/>
      <c r="AC87" s="303"/>
      <c r="AD87" s="303"/>
      <c r="AE87" s="303"/>
      <c r="AF87" s="303"/>
      <c r="AG87" s="303"/>
      <c r="AH87" s="303"/>
      <c r="AI87" s="303"/>
      <c r="AJ87" s="479"/>
      <c r="AK87" s="303"/>
      <c r="AL87" s="301"/>
      <c r="AM87" s="303"/>
      <c r="AN87" s="305"/>
      <c r="AO87" s="306"/>
      <c r="AP87" s="307"/>
      <c r="AQ87" s="302"/>
      <c r="AR87" s="308"/>
      <c r="AS87" s="308"/>
      <c r="AT87" s="302"/>
      <c r="AU87" s="302"/>
      <c r="AV87" s="302"/>
    </row>
    <row r="88" spans="1:48" s="292" customFormat="1" ht="20.25" hidden="1">
      <c r="A88" s="301"/>
      <c r="B88" s="301"/>
      <c r="C88" s="301"/>
      <c r="D88" s="302"/>
      <c r="E88" s="301"/>
      <c r="F88" s="303"/>
      <c r="G88" s="303"/>
      <c r="H88" s="303"/>
      <c r="I88" s="303"/>
      <c r="J88" s="304"/>
      <c r="K88" s="304"/>
      <c r="L88" s="304"/>
      <c r="M88" s="304"/>
      <c r="N88" s="304"/>
      <c r="O88" s="304"/>
      <c r="P88" s="304"/>
      <c r="Q88" s="304"/>
      <c r="R88" s="304"/>
      <c r="S88" s="304"/>
      <c r="T88" s="304"/>
      <c r="U88" s="303"/>
      <c r="V88" s="303"/>
      <c r="X88" s="303"/>
      <c r="Y88" s="303"/>
      <c r="Z88" s="303"/>
      <c r="AA88" s="303"/>
      <c r="AB88" s="303"/>
      <c r="AC88" s="303"/>
      <c r="AD88" s="303"/>
      <c r="AE88" s="303"/>
      <c r="AF88" s="303"/>
      <c r="AG88" s="303"/>
      <c r="AH88" s="303"/>
      <c r="AI88" s="303"/>
      <c r="AJ88" s="479"/>
      <c r="AK88" s="303"/>
      <c r="AL88" s="301"/>
      <c r="AM88" s="303"/>
      <c r="AN88" s="305"/>
      <c r="AO88" s="306"/>
      <c r="AP88" s="307"/>
      <c r="AQ88" s="302"/>
      <c r="AR88" s="308"/>
      <c r="AS88" s="308"/>
      <c r="AT88" s="302"/>
      <c r="AU88" s="302"/>
      <c r="AV88" s="302"/>
    </row>
    <row r="89" spans="1:48" s="292" customFormat="1" ht="20.25" hidden="1">
      <c r="A89" s="301"/>
      <c r="B89" s="301"/>
      <c r="C89" s="301"/>
      <c r="D89" s="302"/>
      <c r="E89" s="301"/>
      <c r="F89" s="303"/>
      <c r="G89" s="303"/>
      <c r="H89" s="303"/>
      <c r="I89" s="303"/>
      <c r="J89" s="304"/>
      <c r="K89" s="304"/>
      <c r="L89" s="304"/>
      <c r="M89" s="304"/>
      <c r="N89" s="304"/>
      <c r="O89" s="304"/>
      <c r="P89" s="304"/>
      <c r="Q89" s="304"/>
      <c r="R89" s="304"/>
      <c r="S89" s="304"/>
      <c r="T89" s="304"/>
      <c r="U89" s="303"/>
      <c r="V89" s="303"/>
      <c r="X89" s="303"/>
      <c r="Y89" s="303"/>
      <c r="Z89" s="303"/>
      <c r="AA89" s="303"/>
      <c r="AB89" s="303"/>
      <c r="AC89" s="303"/>
      <c r="AD89" s="303"/>
      <c r="AE89" s="303"/>
      <c r="AF89" s="303"/>
      <c r="AG89" s="303"/>
      <c r="AH89" s="303"/>
      <c r="AI89" s="303"/>
      <c r="AJ89" s="479"/>
      <c r="AK89" s="303"/>
      <c r="AL89" s="301"/>
      <c r="AM89" s="303"/>
      <c r="AN89" s="305"/>
      <c r="AO89" s="306"/>
      <c r="AP89" s="307"/>
      <c r="AQ89" s="302"/>
      <c r="AR89" s="308"/>
      <c r="AS89" s="308"/>
      <c r="AT89" s="302"/>
      <c r="AU89" s="302"/>
      <c r="AV89" s="302"/>
    </row>
    <row r="90" spans="1:48" s="292" customFormat="1" ht="15" hidden="1" customHeight="1">
      <c r="A90" s="309"/>
      <c r="B90" s="309"/>
      <c r="C90" s="309"/>
      <c r="D90" s="302"/>
      <c r="E90" s="309"/>
      <c r="F90" s="310"/>
      <c r="G90" s="310"/>
      <c r="H90" s="308"/>
      <c r="I90" s="308"/>
      <c r="J90" s="304"/>
      <c r="K90" s="304"/>
      <c r="L90" s="304"/>
      <c r="M90" s="304"/>
      <c r="N90" s="304"/>
      <c r="O90" s="304"/>
      <c r="P90" s="304"/>
      <c r="Q90" s="304"/>
      <c r="R90" s="304"/>
      <c r="S90" s="304"/>
      <c r="T90" s="304"/>
      <c r="U90" s="308"/>
      <c r="V90" s="311"/>
      <c r="AA90" s="311"/>
      <c r="AJ90" s="480"/>
      <c r="AK90" s="312"/>
      <c r="AL90" s="309"/>
      <c r="AM90" s="313"/>
      <c r="AN90" s="305"/>
      <c r="AO90" s="306"/>
      <c r="AP90" s="307"/>
      <c r="AQ90" s="302"/>
      <c r="AR90" s="308"/>
      <c r="AS90" s="308"/>
      <c r="AT90" s="302"/>
      <c r="AU90" s="302"/>
      <c r="AV90" s="302"/>
    </row>
    <row r="91" spans="1:48" s="292" customFormat="1" ht="18" hidden="1" customHeight="1">
      <c r="A91" s="314" t="s">
        <v>12</v>
      </c>
      <c r="B91" s="314"/>
      <c r="C91" s="314"/>
      <c r="D91" s="315"/>
      <c r="E91" s="314"/>
      <c r="F91" s="316" t="s">
        <v>206</v>
      </c>
      <c r="G91" s="316"/>
      <c r="H91" s="736" t="s">
        <v>209</v>
      </c>
      <c r="I91" s="736"/>
      <c r="J91" s="736"/>
      <c r="K91" s="317"/>
      <c r="L91" s="317"/>
      <c r="M91" s="317"/>
      <c r="N91" s="317"/>
      <c r="O91" s="317"/>
      <c r="P91" s="317"/>
      <c r="Q91" s="317"/>
      <c r="R91" s="317"/>
      <c r="S91" s="317"/>
      <c r="T91" s="317"/>
      <c r="U91" s="318"/>
      <c r="V91" s="319"/>
      <c r="X91" s="303"/>
      <c r="Y91" s="316"/>
      <c r="Z91" s="316"/>
      <c r="AA91" s="320" t="s">
        <v>209</v>
      </c>
      <c r="AB91" s="316"/>
      <c r="AC91" s="316"/>
      <c r="AD91" s="316"/>
      <c r="AE91" s="316"/>
      <c r="AF91" s="316"/>
      <c r="AG91" s="316"/>
      <c r="AH91" s="316"/>
      <c r="AI91" s="316"/>
      <c r="AJ91" s="481"/>
      <c r="AK91" s="316"/>
      <c r="AL91" s="314"/>
      <c r="AM91" s="316"/>
      <c r="AN91" s="314"/>
      <c r="AO91" s="321"/>
      <c r="AP91" s="307"/>
      <c r="AQ91" s="302"/>
      <c r="AR91" s="308"/>
      <c r="AS91" s="308"/>
      <c r="AT91" s="302"/>
      <c r="AU91" s="302"/>
      <c r="AV91" s="302"/>
    </row>
    <row r="92" spans="1:48" s="62" customFormat="1" ht="18.75" hidden="1">
      <c r="A92" s="11"/>
      <c r="B92" s="11"/>
      <c r="C92" s="11"/>
      <c r="D92" s="255"/>
      <c r="E92" s="11"/>
      <c r="F92" s="322"/>
      <c r="G92" s="322"/>
      <c r="H92" s="322"/>
      <c r="I92" s="322"/>
      <c r="J92" s="323"/>
      <c r="K92" s="323"/>
      <c r="L92" s="323"/>
      <c r="M92" s="323"/>
      <c r="N92" s="323"/>
      <c r="O92" s="323"/>
      <c r="P92" s="323"/>
      <c r="Q92" s="323"/>
      <c r="R92" s="323"/>
      <c r="S92" s="323"/>
      <c r="T92" s="323"/>
      <c r="U92" s="322"/>
      <c r="V92" s="322"/>
      <c r="W92" s="322"/>
      <c r="X92" s="322"/>
      <c r="Y92" s="322"/>
      <c r="Z92" s="322"/>
      <c r="AA92" s="322"/>
      <c r="AB92" s="322"/>
      <c r="AC92" s="322"/>
      <c r="AD92" s="322"/>
      <c r="AE92" s="322"/>
      <c r="AF92" s="322"/>
      <c r="AG92" s="322"/>
      <c r="AH92" s="322"/>
      <c r="AI92" s="322"/>
      <c r="AJ92" s="482"/>
      <c r="AK92" s="322"/>
      <c r="AL92" s="324"/>
      <c r="AM92" s="322"/>
      <c r="AN92" s="281"/>
      <c r="AO92" s="325"/>
      <c r="AP92" s="326"/>
      <c r="AQ92" s="502"/>
      <c r="AR92" s="255"/>
      <c r="AS92" s="255"/>
      <c r="AT92" s="502"/>
      <c r="AU92" s="502"/>
      <c r="AV92" s="502"/>
    </row>
    <row r="93" spans="1:48" s="103" customFormat="1" ht="57.75" hidden="1" customHeight="1">
      <c r="A93" s="11"/>
      <c r="B93" s="11"/>
      <c r="C93" s="11"/>
      <c r="D93" s="255"/>
      <c r="E93" s="720" t="s">
        <v>207</v>
      </c>
      <c r="F93" s="720"/>
      <c r="G93" s="327"/>
      <c r="H93" s="328"/>
      <c r="I93" s="328"/>
      <c r="J93" s="328"/>
      <c r="K93" s="328"/>
      <c r="L93" s="328"/>
      <c r="M93" s="328"/>
      <c r="N93" s="328"/>
      <c r="O93" s="328"/>
      <c r="P93" s="328"/>
      <c r="Q93" s="328"/>
      <c r="R93" s="328"/>
      <c r="S93" s="328"/>
      <c r="T93" s="328"/>
      <c r="U93" s="328"/>
      <c r="V93" s="329"/>
      <c r="W93" s="329"/>
      <c r="X93" s="11"/>
      <c r="Y93" s="11"/>
      <c r="Z93" s="11"/>
      <c r="AA93" s="11"/>
      <c r="AB93" s="11"/>
      <c r="AC93" s="11"/>
      <c r="AD93" s="11"/>
      <c r="AE93" s="11"/>
      <c r="AF93" s="11"/>
      <c r="AG93" s="11"/>
      <c r="AH93" s="11"/>
      <c r="AI93" s="11"/>
      <c r="AJ93" s="483"/>
      <c r="AK93" s="11"/>
      <c r="AL93" s="281"/>
      <c r="AM93" s="11"/>
      <c r="AN93" s="281"/>
      <c r="AP93" s="326"/>
      <c r="AQ93" s="502"/>
      <c r="AR93" s="255"/>
      <c r="AS93" s="255"/>
      <c r="AT93" s="502"/>
      <c r="AU93" s="502"/>
      <c r="AV93" s="502"/>
    </row>
  </sheetData>
  <mergeCells count="40">
    <mergeCell ref="D11:AV11"/>
    <mergeCell ref="E6:AT6"/>
    <mergeCell ref="D7:AV7"/>
    <mergeCell ref="D8:AV8"/>
    <mergeCell ref="D9:AV9"/>
    <mergeCell ref="D10:AV10"/>
    <mergeCell ref="E93:F9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84:F84"/>
    <mergeCell ref="H91:J91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61"/>
  <sheetViews>
    <sheetView view="pageBreakPreview" topLeftCell="C34" zoomScale="85" zoomScaleSheetLayoutView="85" workbookViewId="0">
      <selection activeCell="H45" sqref="H45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customWidth="1"/>
    <col min="14" max="14" width="15" customWidth="1"/>
    <col min="15" max="15" width="11.7109375" customWidth="1"/>
    <col min="16" max="16" width="15.5703125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</row>
    <row r="4" spans="1:16" s="1" customFormat="1">
      <c r="E4" s="15"/>
      <c r="F4" s="2"/>
      <c r="G4" s="105"/>
      <c r="J4" s="30"/>
      <c r="M4" s="30" t="s">
        <v>21</v>
      </c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60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31"/>
      <c r="N14" s="31"/>
      <c r="O14" s="31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1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43">
        <v>2</v>
      </c>
      <c r="F18" s="142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71">
        <v>169.84</v>
      </c>
      <c r="K19" s="70"/>
      <c r="L19" s="72"/>
      <c r="M19" s="70"/>
      <c r="N19" s="71"/>
      <c r="O19" s="70">
        <f t="shared" ref="O19:P34" si="0">I19+K19-M19</f>
        <v>6</v>
      </c>
      <c r="P19" s="71">
        <f t="shared" si="0"/>
        <v>169.84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53" t="s">
        <v>31</v>
      </c>
      <c r="G20" s="54">
        <v>42347</v>
      </c>
      <c r="H20" s="55">
        <v>833</v>
      </c>
      <c r="I20" s="56">
        <v>1</v>
      </c>
      <c r="J20" s="57">
        <v>1026.1600000000001</v>
      </c>
      <c r="K20" s="56"/>
      <c r="L20" s="58"/>
      <c r="M20" s="56"/>
      <c r="N20" s="57"/>
      <c r="O20" s="56">
        <f t="shared" si="0"/>
        <v>1</v>
      </c>
      <c r="P20" s="57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82" t="s">
        <v>31</v>
      </c>
      <c r="G21" s="83">
        <v>42647</v>
      </c>
      <c r="H21" s="84">
        <v>1034</v>
      </c>
      <c r="I21" s="85">
        <v>1</v>
      </c>
      <c r="J21" s="86">
        <v>1026.1600000000001</v>
      </c>
      <c r="K21" s="85"/>
      <c r="L21" s="87"/>
      <c r="M21" s="85"/>
      <c r="N21" s="86"/>
      <c r="O21" s="85">
        <f t="shared" si="0"/>
        <v>1</v>
      </c>
      <c r="P21" s="86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53" t="s">
        <v>29</v>
      </c>
      <c r="G22" s="54">
        <v>42347</v>
      </c>
      <c r="H22" s="55">
        <v>833</v>
      </c>
      <c r="I22" s="56">
        <v>1</v>
      </c>
      <c r="J22" s="57">
        <v>2094.4</v>
      </c>
      <c r="K22" s="56"/>
      <c r="L22" s="58"/>
      <c r="M22" s="56"/>
      <c r="N22" s="57"/>
      <c r="O22" s="56">
        <f t="shared" si="0"/>
        <v>1</v>
      </c>
      <c r="P22" s="57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82" t="s">
        <v>29</v>
      </c>
      <c r="G23" s="83">
        <v>42647</v>
      </c>
      <c r="H23" s="84">
        <v>1034</v>
      </c>
      <c r="I23" s="85">
        <v>1</v>
      </c>
      <c r="J23" s="86">
        <v>2094.4</v>
      </c>
      <c r="K23" s="85"/>
      <c r="L23" s="87"/>
      <c r="M23" s="85"/>
      <c r="N23" s="86"/>
      <c r="O23" s="85">
        <f t="shared" si="0"/>
        <v>1</v>
      </c>
      <c r="P23" s="86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53" t="s">
        <v>32</v>
      </c>
      <c r="G24" s="54">
        <v>42347</v>
      </c>
      <c r="H24" s="55">
        <v>833</v>
      </c>
      <c r="I24" s="56">
        <v>6</v>
      </c>
      <c r="J24" s="57">
        <v>4721.3999999999996</v>
      </c>
      <c r="K24" s="56"/>
      <c r="L24" s="58"/>
      <c r="M24" s="56"/>
      <c r="N24" s="57"/>
      <c r="O24" s="56">
        <f t="shared" si="0"/>
        <v>6</v>
      </c>
      <c r="P24" s="57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13" t="s">
        <v>40</v>
      </c>
      <c r="G25" s="114">
        <v>42976</v>
      </c>
      <c r="H25" s="115">
        <v>977</v>
      </c>
      <c r="I25" s="35">
        <v>4</v>
      </c>
      <c r="J25" s="77">
        <v>8081.6</v>
      </c>
      <c r="K25" s="35"/>
      <c r="L25" s="78"/>
      <c r="M25" s="35"/>
      <c r="N25" s="77"/>
      <c r="O25" s="35">
        <f t="shared" si="0"/>
        <v>4</v>
      </c>
      <c r="P25" s="77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51" t="s">
        <v>41</v>
      </c>
      <c r="G26" s="114">
        <v>43046</v>
      </c>
      <c r="H26" s="115">
        <v>1379</v>
      </c>
      <c r="I26" s="35">
        <v>180</v>
      </c>
      <c r="J26" s="77">
        <v>25070.400000000001</v>
      </c>
      <c r="K26" s="35"/>
      <c r="L26" s="78"/>
      <c r="M26" s="35"/>
      <c r="N26" s="77"/>
      <c r="O26" s="35">
        <f t="shared" si="0"/>
        <v>180</v>
      </c>
      <c r="P26" s="77">
        <f t="shared" si="0"/>
        <v>25070.400000000001</v>
      </c>
      <c r="Q26" s="61"/>
      <c r="R26" s="61"/>
    </row>
    <row r="27" spans="1:18" s="62" customFormat="1" ht="31.5">
      <c r="A27" s="59"/>
      <c r="B27" s="60"/>
      <c r="C27" s="60"/>
      <c r="D27" s="79" t="s">
        <v>24</v>
      </c>
      <c r="E27" s="75">
        <v>2301400</v>
      </c>
      <c r="F27" s="51" t="s">
        <v>53</v>
      </c>
      <c r="G27" s="114">
        <v>43046</v>
      </c>
      <c r="H27" s="115">
        <v>1379</v>
      </c>
      <c r="I27" s="35">
        <v>180</v>
      </c>
      <c r="J27" s="77">
        <v>94469.4</v>
      </c>
      <c r="K27" s="35"/>
      <c r="L27" s="78"/>
      <c r="M27" s="35"/>
      <c r="N27" s="77"/>
      <c r="O27" s="35">
        <f t="shared" si="0"/>
        <v>180</v>
      </c>
      <c r="P27" s="77">
        <f t="shared" si="0"/>
        <v>94469.4</v>
      </c>
      <c r="Q27" s="61"/>
      <c r="R27" s="61"/>
    </row>
    <row r="28" spans="1:18" s="62" customFormat="1" ht="26.25" customHeight="1">
      <c r="A28" s="59"/>
      <c r="B28" s="60"/>
      <c r="C28" s="60"/>
      <c r="D28" s="79" t="s">
        <v>24</v>
      </c>
      <c r="E28" s="75">
        <v>2301400</v>
      </c>
      <c r="F28" s="135" t="s">
        <v>44</v>
      </c>
      <c r="G28" s="114">
        <v>43066</v>
      </c>
      <c r="H28" s="115">
        <v>1476</v>
      </c>
      <c r="I28" s="35">
        <v>5</v>
      </c>
      <c r="J28" s="77">
        <v>1010.9</v>
      </c>
      <c r="K28" s="35"/>
      <c r="L28" s="78"/>
      <c r="M28" s="35"/>
      <c r="N28" s="77"/>
      <c r="O28" s="35">
        <f t="shared" si="0"/>
        <v>5</v>
      </c>
      <c r="P28" s="77">
        <f t="shared" si="0"/>
        <v>1010.9</v>
      </c>
      <c r="Q28" s="61"/>
      <c r="R28" s="61"/>
    </row>
    <row r="29" spans="1:18" s="62" customFormat="1" ht="26.25" customHeight="1">
      <c r="A29" s="59"/>
      <c r="B29" s="60"/>
      <c r="C29" s="60"/>
      <c r="D29" s="79" t="s">
        <v>24</v>
      </c>
      <c r="E29" s="75">
        <v>2301400</v>
      </c>
      <c r="F29" s="135" t="s">
        <v>44</v>
      </c>
      <c r="G29" s="114">
        <v>43061</v>
      </c>
      <c r="H29" s="115" t="s">
        <v>59</v>
      </c>
      <c r="I29" s="35">
        <v>205</v>
      </c>
      <c r="J29" s="77">
        <v>41446.9</v>
      </c>
      <c r="K29" s="35"/>
      <c r="L29" s="78"/>
      <c r="M29" s="35"/>
      <c r="N29" s="77"/>
      <c r="O29" s="35">
        <f t="shared" si="0"/>
        <v>205</v>
      </c>
      <c r="P29" s="77">
        <f t="shared" si="0"/>
        <v>41446.9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67" t="s">
        <v>55</v>
      </c>
      <c r="G30" s="114">
        <v>43046</v>
      </c>
      <c r="H30" s="115">
        <v>1379</v>
      </c>
      <c r="I30" s="35">
        <v>44</v>
      </c>
      <c r="J30" s="77">
        <v>13134</v>
      </c>
      <c r="K30" s="35"/>
      <c r="L30" s="78"/>
      <c r="M30" s="35"/>
      <c r="N30" s="77"/>
      <c r="O30" s="35">
        <f t="shared" si="0"/>
        <v>44</v>
      </c>
      <c r="P30" s="77">
        <f t="shared" si="0"/>
        <v>13134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67" t="s">
        <v>55</v>
      </c>
      <c r="G31" s="114">
        <v>43066</v>
      </c>
      <c r="H31" s="115">
        <v>1476</v>
      </c>
      <c r="I31" s="35">
        <v>6</v>
      </c>
      <c r="J31" s="77">
        <v>1791</v>
      </c>
      <c r="K31" s="35"/>
      <c r="L31" s="78"/>
      <c r="M31" s="35"/>
      <c r="N31" s="77"/>
      <c r="O31" s="35">
        <f t="shared" si="0"/>
        <v>6</v>
      </c>
      <c r="P31" s="77">
        <f t="shared" si="0"/>
        <v>1791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67" t="s">
        <v>55</v>
      </c>
      <c r="G32" s="114">
        <v>43061</v>
      </c>
      <c r="H32" s="115" t="s">
        <v>59</v>
      </c>
      <c r="I32" s="35">
        <v>36</v>
      </c>
      <c r="J32" s="77">
        <v>10746</v>
      </c>
      <c r="K32" s="35"/>
      <c r="L32" s="78"/>
      <c r="M32" s="35"/>
      <c r="N32" s="77"/>
      <c r="O32" s="35">
        <f t="shared" si="0"/>
        <v>36</v>
      </c>
      <c r="P32" s="77">
        <f t="shared" si="0"/>
        <v>10746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67" t="s">
        <v>55</v>
      </c>
      <c r="G33" s="114">
        <v>43061</v>
      </c>
      <c r="H33" s="115" t="s">
        <v>59</v>
      </c>
      <c r="I33" s="35">
        <v>86</v>
      </c>
      <c r="J33" s="77">
        <v>25671</v>
      </c>
      <c r="K33" s="35"/>
      <c r="L33" s="78"/>
      <c r="M33" s="35"/>
      <c r="N33" s="77"/>
      <c r="O33" s="35">
        <f t="shared" si="0"/>
        <v>86</v>
      </c>
      <c r="P33" s="77">
        <f t="shared" si="0"/>
        <v>25671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25" t="s">
        <v>56</v>
      </c>
      <c r="G34" s="114">
        <v>43046</v>
      </c>
      <c r="H34" s="115">
        <v>1379</v>
      </c>
      <c r="I34" s="35">
        <v>18</v>
      </c>
      <c r="J34" s="77">
        <v>5398.2</v>
      </c>
      <c r="K34" s="35"/>
      <c r="L34" s="78"/>
      <c r="M34" s="35"/>
      <c r="N34" s="77"/>
      <c r="O34" s="35">
        <f t="shared" si="0"/>
        <v>18</v>
      </c>
      <c r="P34" s="77">
        <f t="shared" si="0"/>
        <v>5398.2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25" t="s">
        <v>56</v>
      </c>
      <c r="G35" s="114">
        <v>43066</v>
      </c>
      <c r="H35" s="115">
        <v>1476</v>
      </c>
      <c r="I35" s="35">
        <v>162</v>
      </c>
      <c r="J35" s="77">
        <v>48583.8</v>
      </c>
      <c r="K35" s="35"/>
      <c r="L35" s="78"/>
      <c r="M35" s="35"/>
      <c r="N35" s="77"/>
      <c r="O35" s="35">
        <f t="shared" ref="O35:P52" si="1">I35+K35-M35</f>
        <v>162</v>
      </c>
      <c r="P35" s="77">
        <f t="shared" si="1"/>
        <v>48583.8</v>
      </c>
      <c r="Q35" s="61"/>
      <c r="R35" s="61"/>
    </row>
    <row r="36" spans="1:18" s="62" customFormat="1" ht="24" customHeight="1">
      <c r="A36" s="59"/>
      <c r="B36" s="60"/>
      <c r="C36" s="60"/>
      <c r="D36" s="79" t="s">
        <v>24</v>
      </c>
      <c r="E36" s="75">
        <v>2301400</v>
      </c>
      <c r="F36" s="53" t="s">
        <v>43</v>
      </c>
      <c r="G36" s="114">
        <v>43047</v>
      </c>
      <c r="H36" s="115">
        <v>1381</v>
      </c>
      <c r="I36" s="35">
        <v>40</v>
      </c>
      <c r="J36" s="77">
        <v>21408.799999999999</v>
      </c>
      <c r="K36" s="35"/>
      <c r="L36" s="78"/>
      <c r="M36" s="35"/>
      <c r="N36" s="77"/>
      <c r="O36" s="35">
        <f t="shared" si="1"/>
        <v>40</v>
      </c>
      <c r="P36" s="77">
        <f t="shared" si="1"/>
        <v>21408.799999999999</v>
      </c>
      <c r="Q36" s="61"/>
      <c r="R36" s="61"/>
    </row>
    <row r="37" spans="1:18" s="62" customFormat="1" ht="24" customHeight="1">
      <c r="A37" s="59"/>
      <c r="B37" s="60"/>
      <c r="C37" s="60"/>
      <c r="D37" s="79" t="s">
        <v>24</v>
      </c>
      <c r="E37" s="75">
        <v>2301400</v>
      </c>
      <c r="F37" s="53" t="s">
        <v>43</v>
      </c>
      <c r="G37" s="114">
        <v>43040</v>
      </c>
      <c r="H37" s="115">
        <v>1353</v>
      </c>
      <c r="I37" s="35">
        <v>210</v>
      </c>
      <c r="J37" s="77">
        <v>112396.2</v>
      </c>
      <c r="K37" s="35"/>
      <c r="L37" s="78"/>
      <c r="M37" s="35"/>
      <c r="N37" s="77"/>
      <c r="O37" s="35">
        <f t="shared" si="1"/>
        <v>210</v>
      </c>
      <c r="P37" s="77">
        <f t="shared" si="1"/>
        <v>112396.2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48</v>
      </c>
      <c r="G38" s="114">
        <v>43052</v>
      </c>
      <c r="H38" s="115">
        <v>1405</v>
      </c>
      <c r="I38" s="35">
        <v>120</v>
      </c>
      <c r="J38" s="77">
        <v>58734</v>
      </c>
      <c r="K38" s="35"/>
      <c r="L38" s="78"/>
      <c r="M38" s="35"/>
      <c r="N38" s="77"/>
      <c r="O38" s="35">
        <f t="shared" si="1"/>
        <v>120</v>
      </c>
      <c r="P38" s="77">
        <f t="shared" si="1"/>
        <v>58734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51" t="s">
        <v>48</v>
      </c>
      <c r="G39" s="114">
        <v>43066</v>
      </c>
      <c r="H39" s="115">
        <v>1476</v>
      </c>
      <c r="I39" s="35">
        <v>30</v>
      </c>
      <c r="J39" s="77">
        <v>14683.5</v>
      </c>
      <c r="K39" s="35"/>
      <c r="L39" s="78"/>
      <c r="M39" s="35"/>
      <c r="N39" s="77"/>
      <c r="O39" s="35">
        <f t="shared" si="1"/>
        <v>30</v>
      </c>
      <c r="P39" s="77">
        <f t="shared" si="1"/>
        <v>14683.5</v>
      </c>
      <c r="Q39" s="61"/>
      <c r="R39" s="61"/>
    </row>
    <row r="40" spans="1:18" s="134" customFormat="1" ht="27" customHeight="1">
      <c r="A40" s="131"/>
      <c r="B40" s="132"/>
      <c r="C40" s="60"/>
      <c r="D40" s="79" t="s">
        <v>24</v>
      </c>
      <c r="E40" s="75">
        <v>2301400</v>
      </c>
      <c r="F40" s="135" t="s">
        <v>44</v>
      </c>
      <c r="G40" s="114">
        <v>43082</v>
      </c>
      <c r="H40" s="115">
        <v>1583</v>
      </c>
      <c r="I40" s="22">
        <v>0</v>
      </c>
      <c r="J40" s="77">
        <v>0</v>
      </c>
      <c r="K40" s="35">
        <v>50</v>
      </c>
      <c r="L40" s="77">
        <v>10109</v>
      </c>
      <c r="M40" s="35">
        <v>0</v>
      </c>
      <c r="N40" s="77">
        <v>0</v>
      </c>
      <c r="O40" s="35">
        <f>I40+K40-M40</f>
        <v>50</v>
      </c>
      <c r="P40" s="77">
        <f>J40+L40-N40</f>
        <v>10109</v>
      </c>
      <c r="Q40" s="133"/>
      <c r="R40" s="133"/>
    </row>
    <row r="41" spans="1:18" s="139" customFormat="1" ht="27" customHeight="1">
      <c r="A41" s="136"/>
      <c r="B41" s="137"/>
      <c r="C41" s="60"/>
      <c r="D41" s="79" t="s">
        <v>24</v>
      </c>
      <c r="E41" s="75">
        <v>2301400</v>
      </c>
      <c r="F41" s="135" t="s">
        <v>54</v>
      </c>
      <c r="G41" s="114">
        <v>43096</v>
      </c>
      <c r="H41" s="115">
        <v>1745</v>
      </c>
      <c r="I41" s="22">
        <v>0</v>
      </c>
      <c r="J41" s="77">
        <v>0</v>
      </c>
      <c r="K41" s="35">
        <v>45</v>
      </c>
      <c r="L41" s="77">
        <v>9098.1</v>
      </c>
      <c r="M41" s="35">
        <v>0</v>
      </c>
      <c r="N41" s="77">
        <v>0</v>
      </c>
      <c r="O41" s="35">
        <f>I41+K41-M41</f>
        <v>45</v>
      </c>
      <c r="P41" s="77">
        <f>J41+L41-N41</f>
        <v>9098.1</v>
      </c>
      <c r="Q41" s="138"/>
      <c r="R41" s="138"/>
    </row>
    <row r="42" spans="1:18" s="134" customFormat="1" ht="27" customHeight="1">
      <c r="A42" s="131"/>
      <c r="B42" s="132"/>
      <c r="C42" s="60"/>
      <c r="D42" s="79" t="s">
        <v>24</v>
      </c>
      <c r="E42" s="75">
        <v>2301400</v>
      </c>
      <c r="F42" s="53" t="s">
        <v>52</v>
      </c>
      <c r="G42" s="114">
        <v>43087</v>
      </c>
      <c r="H42" s="115">
        <v>1625</v>
      </c>
      <c r="I42" s="22">
        <v>0</v>
      </c>
      <c r="J42" s="77">
        <v>0</v>
      </c>
      <c r="K42" s="35">
        <v>5</v>
      </c>
      <c r="L42" s="77">
        <v>1010.9</v>
      </c>
      <c r="M42" s="35">
        <v>0</v>
      </c>
      <c r="N42" s="77">
        <v>0</v>
      </c>
      <c r="O42" s="35">
        <f t="shared" si="1"/>
        <v>5</v>
      </c>
      <c r="P42" s="77">
        <f t="shared" si="1"/>
        <v>1010.9</v>
      </c>
      <c r="Q42" s="133"/>
      <c r="R42" s="133"/>
    </row>
    <row r="43" spans="1:18" s="134" customFormat="1" ht="27" customHeight="1">
      <c r="A43" s="131"/>
      <c r="B43" s="132"/>
      <c r="C43" s="60"/>
      <c r="D43" s="79" t="s">
        <v>24</v>
      </c>
      <c r="E43" s="75">
        <v>2301400</v>
      </c>
      <c r="F43" s="53" t="s">
        <v>52</v>
      </c>
      <c r="G43" s="114">
        <v>43082</v>
      </c>
      <c r="H43" s="115">
        <v>1583</v>
      </c>
      <c r="I43" s="22">
        <v>0</v>
      </c>
      <c r="J43" s="77">
        <v>0</v>
      </c>
      <c r="K43" s="35">
        <v>490</v>
      </c>
      <c r="L43" s="77">
        <v>99068.2</v>
      </c>
      <c r="M43" s="35">
        <v>0</v>
      </c>
      <c r="N43" s="77">
        <v>0</v>
      </c>
      <c r="O43" s="35">
        <f t="shared" si="1"/>
        <v>490</v>
      </c>
      <c r="P43" s="77">
        <f t="shared" si="1"/>
        <v>99068.2</v>
      </c>
      <c r="Q43" s="133"/>
      <c r="R43" s="133"/>
    </row>
    <row r="44" spans="1:18" s="139" customFormat="1" ht="27" customHeight="1">
      <c r="A44" s="136"/>
      <c r="B44" s="137"/>
      <c r="C44" s="60"/>
      <c r="D44" s="79" t="s">
        <v>24</v>
      </c>
      <c r="E44" s="75">
        <v>2301400</v>
      </c>
      <c r="F44" s="53" t="s">
        <v>52</v>
      </c>
      <c r="G44" s="114">
        <v>43096</v>
      </c>
      <c r="H44" s="115">
        <v>1745</v>
      </c>
      <c r="I44" s="22">
        <v>0</v>
      </c>
      <c r="J44" s="77">
        <v>0</v>
      </c>
      <c r="K44" s="35">
        <v>195</v>
      </c>
      <c r="L44" s="77">
        <v>39425.1</v>
      </c>
      <c r="M44" s="35">
        <v>0</v>
      </c>
      <c r="N44" s="77">
        <v>0</v>
      </c>
      <c r="O44" s="35">
        <f t="shared" si="1"/>
        <v>195</v>
      </c>
      <c r="P44" s="77">
        <f t="shared" si="1"/>
        <v>39425.1</v>
      </c>
      <c r="Q44" s="138"/>
      <c r="R44" s="138"/>
    </row>
    <row r="45" spans="1:18" s="134" customFormat="1" ht="25.5" customHeight="1">
      <c r="A45" s="131"/>
      <c r="B45" s="132"/>
      <c r="C45" s="60"/>
      <c r="D45" s="79" t="s">
        <v>24</v>
      </c>
      <c r="E45" s="75">
        <v>2301400</v>
      </c>
      <c r="F45" s="140" t="s">
        <v>55</v>
      </c>
      <c r="G45" s="114">
        <v>43082</v>
      </c>
      <c r="H45" s="115">
        <v>1583</v>
      </c>
      <c r="I45" s="22">
        <v>0</v>
      </c>
      <c r="J45" s="77">
        <v>0</v>
      </c>
      <c r="K45" s="35">
        <v>8</v>
      </c>
      <c r="L45" s="77">
        <v>2388</v>
      </c>
      <c r="M45" s="35">
        <v>0</v>
      </c>
      <c r="N45" s="77">
        <v>0</v>
      </c>
      <c r="O45" s="35">
        <f t="shared" si="1"/>
        <v>8</v>
      </c>
      <c r="P45" s="77">
        <f t="shared" si="1"/>
        <v>2388</v>
      </c>
      <c r="Q45" s="133"/>
      <c r="R45" s="133"/>
    </row>
    <row r="46" spans="1:18" s="62" customFormat="1" ht="27.75" customHeight="1">
      <c r="A46" s="59"/>
      <c r="B46" s="60"/>
      <c r="C46" s="60"/>
      <c r="D46" s="79" t="s">
        <v>24</v>
      </c>
      <c r="E46" s="75">
        <v>2301400</v>
      </c>
      <c r="F46" s="51" t="s">
        <v>57</v>
      </c>
      <c r="G46" s="114">
        <v>43096</v>
      </c>
      <c r="H46" s="115">
        <v>1745</v>
      </c>
      <c r="I46" s="22">
        <v>0</v>
      </c>
      <c r="J46" s="77">
        <v>0</v>
      </c>
      <c r="K46" s="35">
        <v>6637</v>
      </c>
      <c r="L46" s="77">
        <v>102541.65</v>
      </c>
      <c r="M46" s="35">
        <v>0</v>
      </c>
      <c r="N46" s="77">
        <v>0</v>
      </c>
      <c r="O46" s="35">
        <f t="shared" si="1"/>
        <v>6637</v>
      </c>
      <c r="P46" s="77">
        <f t="shared" si="1"/>
        <v>102541.65</v>
      </c>
      <c r="Q46" s="61"/>
      <c r="R46" s="61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51" t="s">
        <v>58</v>
      </c>
      <c r="G47" s="114">
        <v>43096</v>
      </c>
      <c r="H47" s="115">
        <v>1745</v>
      </c>
      <c r="I47" s="22">
        <v>0</v>
      </c>
      <c r="J47" s="77">
        <v>0</v>
      </c>
      <c r="K47" s="35">
        <v>4</v>
      </c>
      <c r="L47" s="77">
        <v>9062.24</v>
      </c>
      <c r="M47" s="35">
        <v>0</v>
      </c>
      <c r="N47" s="77">
        <v>0</v>
      </c>
      <c r="O47" s="35">
        <f t="shared" si="1"/>
        <v>4</v>
      </c>
      <c r="P47" s="77">
        <f t="shared" si="1"/>
        <v>9062.24</v>
      </c>
      <c r="Q47" s="61"/>
      <c r="R47" s="61"/>
    </row>
    <row r="48" spans="1:18" s="62" customFormat="1" ht="26.25" customHeight="1">
      <c r="A48" s="59"/>
      <c r="B48" s="60"/>
      <c r="C48" s="60"/>
      <c r="D48" s="79" t="s">
        <v>24</v>
      </c>
      <c r="E48" s="75">
        <v>2301400</v>
      </c>
      <c r="F48" s="53" t="s">
        <v>52</v>
      </c>
      <c r="G48" s="114">
        <v>43116</v>
      </c>
      <c r="H48" s="115">
        <v>68</v>
      </c>
      <c r="I48" s="22">
        <v>0</v>
      </c>
      <c r="J48" s="77">
        <v>0</v>
      </c>
      <c r="K48" s="35">
        <v>335</v>
      </c>
      <c r="L48" s="77">
        <v>67730.3</v>
      </c>
      <c r="M48" s="35">
        <v>0</v>
      </c>
      <c r="N48" s="77">
        <v>0</v>
      </c>
      <c r="O48" s="35">
        <f t="shared" si="1"/>
        <v>335</v>
      </c>
      <c r="P48" s="77">
        <f t="shared" si="1"/>
        <v>67730.3</v>
      </c>
      <c r="Q48" s="61"/>
      <c r="R48" s="61"/>
    </row>
    <row r="49" spans="1:18" s="62" customFormat="1" ht="26.25" customHeight="1">
      <c r="A49" s="59"/>
      <c r="B49" s="60"/>
      <c r="C49" s="60"/>
      <c r="D49" s="79" t="s">
        <v>24</v>
      </c>
      <c r="E49" s="75">
        <v>2301400</v>
      </c>
      <c r="F49" s="53" t="s">
        <v>52</v>
      </c>
      <c r="G49" s="114">
        <v>42761</v>
      </c>
      <c r="H49" s="115">
        <v>135</v>
      </c>
      <c r="I49" s="22">
        <v>0</v>
      </c>
      <c r="J49" s="77">
        <v>0</v>
      </c>
      <c r="K49" s="35">
        <v>155</v>
      </c>
      <c r="L49" s="77">
        <v>31337.9</v>
      </c>
      <c r="M49" s="35">
        <v>0</v>
      </c>
      <c r="N49" s="77">
        <v>0</v>
      </c>
      <c r="O49" s="35">
        <f t="shared" si="1"/>
        <v>155</v>
      </c>
      <c r="P49" s="77">
        <f t="shared" si="1"/>
        <v>31337.9</v>
      </c>
      <c r="Q49" s="61"/>
      <c r="R49" s="61"/>
    </row>
    <row r="50" spans="1:18" s="62" customFormat="1" ht="26.25" customHeight="1">
      <c r="A50" s="59"/>
      <c r="B50" s="60"/>
      <c r="C50" s="60"/>
      <c r="D50" s="79" t="s">
        <v>24</v>
      </c>
      <c r="E50" s="75">
        <v>2301400</v>
      </c>
      <c r="F50" s="53" t="s">
        <v>52</v>
      </c>
      <c r="G50" s="114">
        <v>43119</v>
      </c>
      <c r="H50" s="115">
        <v>108</v>
      </c>
      <c r="I50" s="22">
        <v>0</v>
      </c>
      <c r="J50" s="77">
        <v>0</v>
      </c>
      <c r="K50" s="35">
        <v>340</v>
      </c>
      <c r="L50" s="77">
        <v>68741.2</v>
      </c>
      <c r="M50" s="35">
        <v>0</v>
      </c>
      <c r="N50" s="77">
        <v>0</v>
      </c>
      <c r="O50" s="35">
        <f t="shared" si="1"/>
        <v>340</v>
      </c>
      <c r="P50" s="77">
        <f t="shared" si="1"/>
        <v>68741.2</v>
      </c>
      <c r="Q50" s="61"/>
      <c r="R50" s="61"/>
    </row>
    <row r="51" spans="1:18" s="62" customFormat="1" ht="26.25" customHeight="1">
      <c r="A51" s="59"/>
      <c r="B51" s="60"/>
      <c r="C51" s="60"/>
      <c r="D51" s="79" t="s">
        <v>24</v>
      </c>
      <c r="E51" s="75">
        <v>2301400</v>
      </c>
      <c r="F51" s="51" t="s">
        <v>61</v>
      </c>
      <c r="G51" s="114">
        <v>42761</v>
      </c>
      <c r="H51" s="115">
        <v>135</v>
      </c>
      <c r="I51" s="22">
        <v>0</v>
      </c>
      <c r="J51" s="77">
        <v>0</v>
      </c>
      <c r="K51" s="35">
        <v>14</v>
      </c>
      <c r="L51" s="77">
        <v>774.48</v>
      </c>
      <c r="M51" s="35">
        <v>0</v>
      </c>
      <c r="N51" s="77">
        <v>0</v>
      </c>
      <c r="O51" s="35">
        <f t="shared" si="1"/>
        <v>14</v>
      </c>
      <c r="P51" s="77">
        <f t="shared" si="1"/>
        <v>774.48</v>
      </c>
      <c r="Q51" s="61"/>
      <c r="R51" s="61"/>
    </row>
    <row r="52" spans="1:18" s="62" customFormat="1" ht="26.25" customHeight="1">
      <c r="A52" s="59"/>
      <c r="B52" s="60"/>
      <c r="C52" s="60"/>
      <c r="D52" s="79" t="s">
        <v>24</v>
      </c>
      <c r="E52" s="75">
        <v>2301400</v>
      </c>
      <c r="F52" s="51" t="s">
        <v>62</v>
      </c>
      <c r="G52" s="114">
        <v>42761</v>
      </c>
      <c r="H52" s="115">
        <v>135</v>
      </c>
      <c r="I52" s="22">
        <v>0</v>
      </c>
      <c r="J52" s="77">
        <v>0</v>
      </c>
      <c r="K52" s="35">
        <v>6</v>
      </c>
      <c r="L52" s="77">
        <v>4549.08</v>
      </c>
      <c r="M52" s="35">
        <v>0</v>
      </c>
      <c r="N52" s="77">
        <v>0</v>
      </c>
      <c r="O52" s="35">
        <f t="shared" si="1"/>
        <v>6</v>
      </c>
      <c r="P52" s="77">
        <f t="shared" si="1"/>
        <v>4549.08</v>
      </c>
      <c r="Q52" s="61"/>
      <c r="R52" s="61"/>
    </row>
    <row r="53" spans="1:18" s="10" customFormat="1" ht="21" customHeight="1">
      <c r="A53" s="20" t="s">
        <v>11</v>
      </c>
      <c r="B53" s="20"/>
      <c r="C53" s="20"/>
      <c r="D53" s="695" t="s">
        <v>34</v>
      </c>
      <c r="E53" s="696"/>
      <c r="F53" s="696"/>
      <c r="G53" s="696"/>
      <c r="H53" s="697"/>
      <c r="I53" s="48">
        <f>SUM(I19:I39)</f>
        <v>1342</v>
      </c>
      <c r="J53" s="49">
        <f>SUM(J19:J45)</f>
        <v>493758.06</v>
      </c>
      <c r="K53" s="48">
        <f>SUM(K25:K52)</f>
        <v>8284</v>
      </c>
      <c r="L53" s="64">
        <f>SUM(L19:L52)</f>
        <v>445836.14999999997</v>
      </c>
      <c r="M53" s="48">
        <f>SUM(M19:M52)</f>
        <v>0</v>
      </c>
      <c r="N53" s="49">
        <f>SUM(N19:N52)</f>
        <v>0</v>
      </c>
      <c r="O53" s="48">
        <f>SUM(O19:O52)</f>
        <v>9626</v>
      </c>
      <c r="P53" s="49">
        <f>SUM(P19:P52)</f>
        <v>939594.21</v>
      </c>
      <c r="Q53" s="26">
        <f>SUM(Q19:Q23)</f>
        <v>0</v>
      </c>
      <c r="R53" s="27"/>
    </row>
    <row r="54" spans="1:18">
      <c r="A54" s="19"/>
      <c r="B54" s="19"/>
      <c r="C54" s="19"/>
      <c r="I54" s="10"/>
      <c r="J54" s="10"/>
      <c r="K54" s="10"/>
      <c r="L54" s="10"/>
      <c r="M54" s="10"/>
      <c r="N54" s="10"/>
      <c r="O54" s="10"/>
      <c r="P54" s="10"/>
      <c r="Q54" s="10"/>
    </row>
    <row r="55" spans="1:18" ht="15.75">
      <c r="A55" s="28"/>
      <c r="B55" s="28"/>
      <c r="C55" s="28"/>
      <c r="D55" s="28"/>
      <c r="E55" s="28"/>
      <c r="F55" s="28"/>
      <c r="G55" s="108"/>
      <c r="H55" s="28"/>
      <c r="I55" s="11"/>
      <c r="J55" s="9"/>
      <c r="K55" s="11"/>
      <c r="L55" s="9"/>
      <c r="M55" s="9"/>
      <c r="N55" s="47"/>
      <c r="O55" s="47"/>
      <c r="P55" s="91"/>
    </row>
    <row r="56" spans="1:18" ht="18.75">
      <c r="A56" s="28"/>
      <c r="B56" s="28"/>
      <c r="C56" s="28"/>
      <c r="D56" s="28"/>
      <c r="E56" s="693" t="s">
        <v>25</v>
      </c>
      <c r="F56" s="693"/>
      <c r="G56" s="693"/>
      <c r="H56" s="693"/>
      <c r="I56" s="693"/>
      <c r="J56" s="693"/>
      <c r="K56" s="693"/>
      <c r="L56" s="693"/>
      <c r="M56" s="693"/>
      <c r="N56" s="693"/>
      <c r="O56" s="47"/>
      <c r="P56" s="12"/>
    </row>
    <row r="57" spans="1:18" ht="15" customHeight="1">
      <c r="A57" s="43"/>
      <c r="B57" s="43"/>
      <c r="C57" s="43"/>
      <c r="D57" s="43"/>
      <c r="E57" s="141"/>
      <c r="F57" s="144"/>
      <c r="G57" s="109"/>
      <c r="H57" s="32"/>
      <c r="I57" s="38"/>
      <c r="J57" s="32"/>
      <c r="K57" s="38"/>
      <c r="L57" s="32"/>
      <c r="M57" s="32"/>
      <c r="N57" s="39"/>
      <c r="O57" s="47"/>
      <c r="P57" s="12"/>
    </row>
    <row r="58" spans="1:18" ht="18" customHeight="1">
      <c r="A58" s="44" t="s">
        <v>12</v>
      </c>
      <c r="B58" s="44"/>
      <c r="C58" s="44"/>
      <c r="D58" s="44"/>
      <c r="E58" s="34"/>
      <c r="F58" s="40"/>
      <c r="G58" s="110"/>
      <c r="H58" s="40"/>
      <c r="I58" s="40"/>
      <c r="J58" s="40"/>
      <c r="K58" s="40"/>
      <c r="L58" s="40"/>
      <c r="M58" s="40"/>
      <c r="N58" s="40"/>
      <c r="O58" s="45"/>
      <c r="P58" s="13"/>
    </row>
    <row r="59" spans="1:18" ht="18.75">
      <c r="A59" s="9"/>
      <c r="B59" s="9"/>
      <c r="C59" s="9"/>
      <c r="D59" s="9"/>
      <c r="E59" s="694" t="s">
        <v>20</v>
      </c>
      <c r="F59" s="694"/>
      <c r="G59" s="694"/>
      <c r="H59" s="694"/>
      <c r="I59" s="694"/>
      <c r="J59" s="694"/>
      <c r="K59" s="694"/>
      <c r="L59" s="694"/>
      <c r="M59" s="694"/>
      <c r="N59" s="694"/>
      <c r="O59" s="9"/>
      <c r="P59" s="13"/>
    </row>
    <row r="60" spans="1:18" ht="15.75">
      <c r="A60" s="44"/>
      <c r="B60" s="44"/>
      <c r="C60" s="44"/>
      <c r="D60" s="44"/>
      <c r="E60" s="46" t="s">
        <v>26</v>
      </c>
      <c r="F60" s="44"/>
      <c r="G60" s="111"/>
      <c r="H60" s="45"/>
      <c r="I60" s="45"/>
      <c r="J60" s="45"/>
      <c r="K60" s="45"/>
      <c r="L60" s="45"/>
      <c r="M60" s="45"/>
      <c r="N60" s="45"/>
      <c r="O60" s="45"/>
    </row>
    <row r="61" spans="1:18" ht="36" customHeight="1">
      <c r="A61" s="9"/>
      <c r="B61" s="9"/>
      <c r="C61" s="9"/>
      <c r="D61" s="676" t="s">
        <v>38</v>
      </c>
      <c r="E61" s="676"/>
      <c r="F61" s="676"/>
      <c r="G61" s="112"/>
      <c r="H61" s="9"/>
      <c r="I61" s="11"/>
      <c r="J61" s="9"/>
      <c r="K61" s="11"/>
      <c r="L61" s="9"/>
      <c r="M61" s="9"/>
      <c r="N61" s="9"/>
      <c r="O61" s="9"/>
    </row>
  </sheetData>
  <mergeCells count="16">
    <mergeCell ref="D61:F61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53:H53"/>
    <mergeCell ref="E56:N56"/>
    <mergeCell ref="E59:N59"/>
  </mergeCells>
  <pageMargins left="0.31496062992125984" right="0.31496062992125984" top="0.11811023622047245" bottom="0.41" header="0.23622047244094491" footer="0.52"/>
  <pageSetup paperSize="9" scale="66" fitToHeight="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8"/>
  <sheetViews>
    <sheetView view="pageBreakPreview" topLeftCell="C81" zoomScale="70" zoomScaleSheetLayoutView="70" workbookViewId="0">
      <selection activeCell="AX107" sqref="AX107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08"/>
      <c r="AR1" s="255"/>
      <c r="AS1" s="255"/>
      <c r="AT1" s="508"/>
      <c r="AU1" s="508"/>
      <c r="AV1" s="50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0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0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281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08"/>
      <c r="AR12" s="255"/>
      <c r="AS12" s="255"/>
      <c r="AT12" s="509"/>
      <c r="AU12" s="509"/>
      <c r="AV12" s="50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280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09"/>
      <c r="D16" s="748"/>
      <c r="E16" s="685"/>
      <c r="F16" s="685"/>
      <c r="G16" s="202"/>
      <c r="H16" s="201"/>
      <c r="I16" s="201"/>
      <c r="J16" s="241"/>
      <c r="K16" s="241"/>
      <c r="L16" s="241"/>
      <c r="M16" s="504" t="s">
        <v>77</v>
      </c>
      <c r="N16" s="504" t="s">
        <v>78</v>
      </c>
      <c r="O16" s="504" t="s">
        <v>77</v>
      </c>
      <c r="P16" s="504" t="s">
        <v>78</v>
      </c>
      <c r="Q16" s="504" t="s">
        <v>77</v>
      </c>
      <c r="R16" s="504" t="s">
        <v>78</v>
      </c>
      <c r="S16" s="504" t="s">
        <v>77</v>
      </c>
      <c r="T16" s="50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05" t="s">
        <v>77</v>
      </c>
      <c r="AE16" s="505" t="s">
        <v>78</v>
      </c>
      <c r="AF16" s="205" t="s">
        <v>77</v>
      </c>
      <c r="AG16" s="205" t="s">
        <v>78</v>
      </c>
      <c r="AH16" s="505" t="s">
        <v>77</v>
      </c>
      <c r="AI16" s="505" t="s">
        <v>78</v>
      </c>
      <c r="AJ16" s="207" t="s">
        <v>96</v>
      </c>
      <c r="AK16" s="96" t="s">
        <v>19</v>
      </c>
      <c r="AL16" s="506" t="s">
        <v>96</v>
      </c>
      <c r="AM16" s="506" t="s">
        <v>19</v>
      </c>
      <c r="AN16" s="216" t="s">
        <v>96</v>
      </c>
      <c r="AO16" s="216" t="s">
        <v>19</v>
      </c>
      <c r="AP16" s="207" t="s">
        <v>96</v>
      </c>
      <c r="AQ16" s="506" t="s">
        <v>96</v>
      </c>
      <c r="AR16" s="506" t="s">
        <v>107</v>
      </c>
      <c r="AS16" s="506" t="s">
        <v>19</v>
      </c>
      <c r="AT16" s="507" t="s">
        <v>96</v>
      </c>
      <c r="AU16" s="50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191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2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6" si="3">AQ18*AR18</f>
        <v>0</v>
      </c>
      <c r="AT18" s="247">
        <v>1</v>
      </c>
      <c r="AU18" s="228">
        <f t="shared" ref="AU18:AU86" si="4">AT18*AR18</f>
        <v>1026.1600000000001</v>
      </c>
      <c r="AV18" s="247">
        <f t="shared" ref="AV18:AV86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191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2"/>
      <c r="AK19" s="170">
        <f t="shared" ref="AK19:AK87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191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203">
        <v>1633600163</v>
      </c>
      <c r="V20" s="115">
        <v>260</v>
      </c>
      <c r="W20" s="114">
        <v>43145</v>
      </c>
      <c r="X20" s="193" t="s">
        <v>94</v>
      </c>
      <c r="Y20" s="200">
        <v>43164</v>
      </c>
      <c r="Z20" s="193"/>
      <c r="AA20" s="193"/>
      <c r="AB20" s="22">
        <v>0</v>
      </c>
      <c r="AC20" s="170">
        <v>0</v>
      </c>
      <c r="AD20" s="209">
        <v>2</v>
      </c>
      <c r="AE20" s="194">
        <f>2020.4+2020.4</f>
        <v>4040.8</v>
      </c>
      <c r="AF20" s="209"/>
      <c r="AG20" s="194"/>
      <c r="AH20" s="209"/>
      <c r="AI20" s="194"/>
      <c r="AJ20" s="232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188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203"/>
      <c r="V21" s="115">
        <v>977</v>
      </c>
      <c r="W21" s="114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35">
        <v>4</v>
      </c>
      <c r="AC21" s="170">
        <v>8081.6</v>
      </c>
      <c r="AD21" s="209"/>
      <c r="AE21" s="194"/>
      <c r="AF21" s="209"/>
      <c r="AG21" s="194"/>
      <c r="AH21" s="209"/>
      <c r="AI21" s="194"/>
      <c r="AJ21" s="232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178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193</v>
      </c>
      <c r="V22" s="55">
        <v>833</v>
      </c>
      <c r="W22" s="54">
        <v>42347</v>
      </c>
      <c r="X22" s="192">
        <v>65</v>
      </c>
      <c r="Y22" s="199">
        <v>42396</v>
      </c>
      <c r="Z22" s="192"/>
      <c r="AA22" s="192"/>
      <c r="AB22" s="35">
        <v>1</v>
      </c>
      <c r="AC22" s="170">
        <v>2094.4</v>
      </c>
      <c r="AD22" s="209"/>
      <c r="AE22" s="194"/>
      <c r="AF22" s="209"/>
      <c r="AG22" s="194"/>
      <c r="AH22" s="209"/>
      <c r="AI22" s="194"/>
      <c r="AJ22" s="232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178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84">
        <v>1034</v>
      </c>
      <c r="W23" s="83">
        <v>42647</v>
      </c>
      <c r="X23" s="192">
        <v>1232</v>
      </c>
      <c r="Y23" s="199">
        <v>42698</v>
      </c>
      <c r="Z23" s="192"/>
      <c r="AA23" s="192"/>
      <c r="AB23" s="35">
        <v>1</v>
      </c>
      <c r="AC23" s="170">
        <v>2094.4</v>
      </c>
      <c r="AD23" s="209"/>
      <c r="AE23" s="194"/>
      <c r="AF23" s="209"/>
      <c r="AG23" s="194"/>
      <c r="AH23" s="209"/>
      <c r="AI23" s="194"/>
      <c r="AJ23" s="232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406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61">
        <f>90-55-35</f>
        <v>0</v>
      </c>
      <c r="AU29" s="228">
        <f t="shared" si="4"/>
        <v>0</v>
      </c>
      <c r="AV29" s="406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61">
        <f>15-15</f>
        <v>0</v>
      </c>
      <c r="AU30" s="228"/>
      <c r="AV30" s="406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9" s="62" customFormat="1" ht="26.25" customHeight="1">
      <c r="A34" s="59"/>
      <c r="B34" s="60"/>
      <c r="C34" s="427"/>
      <c r="D34" s="428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427"/>
      <c r="D37" s="428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3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203" t="s">
        <v>133</v>
      </c>
      <c r="V42" s="115">
        <v>426</v>
      </c>
      <c r="W42" s="114">
        <v>43164</v>
      </c>
      <c r="X42" s="115" t="s">
        <v>141</v>
      </c>
      <c r="Y42" s="221">
        <v>43164</v>
      </c>
      <c r="Z42" s="115" t="s">
        <v>142</v>
      </c>
      <c r="AA42" s="221">
        <v>43230</v>
      </c>
      <c r="AB42" s="22">
        <v>0</v>
      </c>
      <c r="AC42" s="170">
        <v>0</v>
      </c>
      <c r="AD42" s="208">
        <v>170</v>
      </c>
      <c r="AE42" s="170">
        <v>34370.6</v>
      </c>
      <c r="AF42" s="208"/>
      <c r="AG42" s="170"/>
      <c r="AH42" s="208"/>
      <c r="AI42" s="170"/>
      <c r="AJ42" s="232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3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133</v>
      </c>
      <c r="V43" s="115">
        <v>234</v>
      </c>
      <c r="W43" s="114">
        <v>43143</v>
      </c>
      <c r="X43" s="193" t="s">
        <v>143</v>
      </c>
      <c r="Y43" s="200">
        <v>43164</v>
      </c>
      <c r="Z43" s="193"/>
      <c r="AA43" s="193"/>
      <c r="AB43" s="22">
        <v>0</v>
      </c>
      <c r="AC43" s="170">
        <v>0</v>
      </c>
      <c r="AD43" s="209">
        <v>320</v>
      </c>
      <c r="AE43" s="194">
        <v>64697.599999999999</v>
      </c>
      <c r="AF43" s="209"/>
      <c r="AG43" s="194"/>
      <c r="AH43" s="209"/>
      <c r="AI43" s="194"/>
      <c r="AJ43" s="232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3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132</v>
      </c>
      <c r="V44" s="115">
        <v>234</v>
      </c>
      <c r="W44" s="114">
        <v>43143</v>
      </c>
      <c r="X44" s="193" t="s">
        <v>143</v>
      </c>
      <c r="Y44" s="200">
        <v>43164</v>
      </c>
      <c r="Z44" s="193"/>
      <c r="AA44" s="193"/>
      <c r="AB44" s="22">
        <v>0</v>
      </c>
      <c r="AC44" s="170">
        <v>0</v>
      </c>
      <c r="AD44" s="209">
        <v>15</v>
      </c>
      <c r="AE44" s="194">
        <v>3032.7</v>
      </c>
      <c r="AF44" s="209"/>
      <c r="AG44" s="194"/>
      <c r="AH44" s="209"/>
      <c r="AI44" s="194"/>
      <c r="AJ44" s="232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15</v>
      </c>
      <c r="AU44" s="228">
        <f t="shared" si="4"/>
        <v>3032.7000000000003</v>
      </c>
      <c r="AV44" s="247">
        <f t="shared" si="5"/>
        <v>15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3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133</v>
      </c>
      <c r="V45" s="115">
        <v>356</v>
      </c>
      <c r="W45" s="114">
        <v>43159</v>
      </c>
      <c r="X45" s="193" t="s">
        <v>136</v>
      </c>
      <c r="Y45" s="200">
        <v>43164</v>
      </c>
      <c r="Z45" s="193"/>
      <c r="AA45" s="193"/>
      <c r="AB45" s="22">
        <v>0</v>
      </c>
      <c r="AC45" s="170">
        <v>0</v>
      </c>
      <c r="AD45" s="209">
        <v>170</v>
      </c>
      <c r="AE45" s="194">
        <v>34370.6</v>
      </c>
      <c r="AF45" s="209"/>
      <c r="AG45" s="194"/>
      <c r="AH45" s="209"/>
      <c r="AI45" s="194"/>
      <c r="AJ45" s="232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3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133</v>
      </c>
      <c r="V46" s="115">
        <v>260</v>
      </c>
      <c r="W46" s="114">
        <v>43145</v>
      </c>
      <c r="X46" s="193" t="s">
        <v>94</v>
      </c>
      <c r="Y46" s="200">
        <v>43164</v>
      </c>
      <c r="Z46" s="193"/>
      <c r="AA46" s="193"/>
      <c r="AB46" s="22">
        <v>0</v>
      </c>
      <c r="AC46" s="170">
        <v>0</v>
      </c>
      <c r="AD46" s="209">
        <v>665</v>
      </c>
      <c r="AE46" s="194">
        <v>134449.70000000001</v>
      </c>
      <c r="AF46" s="209"/>
      <c r="AG46" s="194"/>
      <c r="AH46" s="209"/>
      <c r="AI46" s="194"/>
      <c r="AJ46" s="232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124</v>
      </c>
      <c r="V48" s="115">
        <v>135</v>
      </c>
      <c r="W48" s="114">
        <v>42761</v>
      </c>
      <c r="X48" s="193" t="s">
        <v>126</v>
      </c>
      <c r="Y48" s="200">
        <v>43130</v>
      </c>
      <c r="Z48" s="193"/>
      <c r="AA48" s="193"/>
      <c r="AB48" s="22">
        <v>0</v>
      </c>
      <c r="AC48" s="170">
        <v>0</v>
      </c>
      <c r="AD48" s="209">
        <v>155</v>
      </c>
      <c r="AE48" s="194">
        <v>31337.9</v>
      </c>
      <c r="AF48" s="209"/>
      <c r="AG48" s="194"/>
      <c r="AH48" s="209"/>
      <c r="AI48" s="194"/>
      <c r="AJ48" s="232"/>
      <c r="AK48" s="170">
        <f t="shared" si="6"/>
        <v>31337.9</v>
      </c>
      <c r="AL48" s="272">
        <v>0</v>
      </c>
      <c r="AM48" s="212">
        <v>0</v>
      </c>
      <c r="AN48" s="269">
        <v>155</v>
      </c>
      <c r="AO48" s="217">
        <f t="shared" si="2"/>
        <v>31337.9</v>
      </c>
      <c r="AP48" s="232"/>
      <c r="AQ48" s="229"/>
      <c r="AR48" s="212">
        <v>202.18</v>
      </c>
      <c r="AS48" s="212">
        <f t="shared" si="3"/>
        <v>0</v>
      </c>
      <c r="AT48" s="261">
        <f>155-155</f>
        <v>0</v>
      </c>
      <c r="AU48" s="228">
        <f t="shared" si="4"/>
        <v>0</v>
      </c>
      <c r="AV48" s="279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3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132</v>
      </c>
      <c r="V49" s="115">
        <v>108</v>
      </c>
      <c r="W49" s="114">
        <v>43119</v>
      </c>
      <c r="X49" s="193" t="s">
        <v>131</v>
      </c>
      <c r="Y49" s="200">
        <v>43130</v>
      </c>
      <c r="Z49" s="193"/>
      <c r="AA49" s="193"/>
      <c r="AB49" s="22">
        <v>0</v>
      </c>
      <c r="AC49" s="170">
        <v>0</v>
      </c>
      <c r="AD49" s="209">
        <v>340</v>
      </c>
      <c r="AE49" s="194">
        <v>68741.2</v>
      </c>
      <c r="AF49" s="209"/>
      <c r="AG49" s="194"/>
      <c r="AH49" s="209"/>
      <c r="AI49" s="194"/>
      <c r="AJ49" s="232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340</v>
      </c>
      <c r="AU49" s="249">
        <f t="shared" si="4"/>
        <v>68741.2</v>
      </c>
      <c r="AV49" s="247">
        <f t="shared" si="5"/>
        <v>340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3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161</v>
      </c>
      <c r="V50" s="115">
        <v>659</v>
      </c>
      <c r="W50" s="114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22">
        <v>0</v>
      </c>
      <c r="AC50" s="170">
        <v>0</v>
      </c>
      <c r="AD50" s="209">
        <v>245</v>
      </c>
      <c r="AE50" s="194">
        <v>49534.1</v>
      </c>
      <c r="AF50" s="209"/>
      <c r="AG50" s="194"/>
      <c r="AH50" s="209"/>
      <c r="AI50" s="194"/>
      <c r="AJ50" s="232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61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1006</v>
      </c>
      <c r="W52" s="114">
        <v>43244</v>
      </c>
      <c r="X52" s="193" t="s">
        <v>179</v>
      </c>
      <c r="Y52" s="200">
        <v>43285</v>
      </c>
      <c r="Z52" s="193"/>
      <c r="AA52" s="193"/>
      <c r="AB52" s="22">
        <v>0</v>
      </c>
      <c r="AC52" s="170">
        <v>0</v>
      </c>
      <c r="AD52" s="209">
        <v>45</v>
      </c>
      <c r="AE52" s="194">
        <v>8820</v>
      </c>
      <c r="AF52" s="209"/>
      <c r="AG52" s="194"/>
      <c r="AH52" s="209"/>
      <c r="AI52" s="194"/>
      <c r="AJ52" s="232"/>
      <c r="AK52" s="170">
        <f t="shared" si="6"/>
        <v>8820</v>
      </c>
      <c r="AL52" s="272">
        <v>0</v>
      </c>
      <c r="AM52" s="212">
        <v>0</v>
      </c>
      <c r="AN52" s="269">
        <v>45</v>
      </c>
      <c r="AO52" s="217">
        <f t="shared" si="2"/>
        <v>8820</v>
      </c>
      <c r="AP52" s="232"/>
      <c r="AQ52" s="229"/>
      <c r="AR52" s="212">
        <v>196</v>
      </c>
      <c r="AS52" s="212">
        <f t="shared" si="3"/>
        <v>0</v>
      </c>
      <c r="AT52" s="261">
        <f>45-45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175</v>
      </c>
      <c r="V53" s="115">
        <v>1006</v>
      </c>
      <c r="W53" s="114">
        <v>43244</v>
      </c>
      <c r="X53" s="193" t="s">
        <v>179</v>
      </c>
      <c r="Y53" s="200">
        <v>43285</v>
      </c>
      <c r="Z53" s="193"/>
      <c r="AA53" s="193"/>
      <c r="AB53" s="22">
        <v>0</v>
      </c>
      <c r="AC53" s="170">
        <v>0</v>
      </c>
      <c r="AD53" s="209">
        <v>55</v>
      </c>
      <c r="AE53" s="194">
        <v>11119.9</v>
      </c>
      <c r="AF53" s="209"/>
      <c r="AG53" s="194"/>
      <c r="AH53" s="209"/>
      <c r="AI53" s="194"/>
      <c r="AJ53" s="232"/>
      <c r="AK53" s="170">
        <f t="shared" si="6"/>
        <v>11119.9</v>
      </c>
      <c r="AL53" s="272">
        <v>0</v>
      </c>
      <c r="AM53" s="212">
        <v>0</v>
      </c>
      <c r="AN53" s="269">
        <v>55</v>
      </c>
      <c r="AO53" s="217">
        <f t="shared" si="2"/>
        <v>11119.9</v>
      </c>
      <c r="AP53" s="232"/>
      <c r="AQ53" s="229"/>
      <c r="AR53" s="212">
        <v>202.18</v>
      </c>
      <c r="AS53" s="212">
        <f t="shared" si="3"/>
        <v>0</v>
      </c>
      <c r="AT53" s="261">
        <f>55-55</f>
        <v>0</v>
      </c>
      <c r="AU53" s="228">
        <f t="shared" si="4"/>
        <v>0</v>
      </c>
      <c r="AV53" s="279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262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234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234</v>
      </c>
      <c r="AU69" s="386"/>
      <c r="AV69" s="279">
        <f t="shared" si="5"/>
        <v>234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263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14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14</v>
      </c>
      <c r="AU70" s="386"/>
      <c r="AV70" s="279">
        <f t="shared" si="5"/>
        <v>14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36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36</v>
      </c>
      <c r="AU71" s="386"/>
      <c r="AV71" s="279">
        <f t="shared" si="5"/>
        <v>36</v>
      </c>
    </row>
    <row r="72" spans="1:48" s="62" customFormat="1" ht="25.5" customHeight="1">
      <c r="A72" s="59"/>
      <c r="B72" s="60"/>
      <c r="C72" s="427"/>
      <c r="D72" s="428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427"/>
      <c r="D77" s="428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31.5">
      <c r="A78" s="59"/>
      <c r="B78" s="60"/>
      <c r="C78" s="60"/>
      <c r="D78" s="22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61">
        <f>766-240</f>
        <v>526</v>
      </c>
      <c r="AU78" s="228"/>
      <c r="AV78" s="279">
        <f t="shared" si="5"/>
        <v>526</v>
      </c>
    </row>
    <row r="79" spans="1:48" s="62" customFormat="1" ht="31.5">
      <c r="A79" s="59"/>
      <c r="B79" s="60"/>
      <c r="C79" s="427"/>
      <c r="D79" s="428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450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450</v>
      </c>
      <c r="AU79" s="228"/>
      <c r="AV79" s="279">
        <f t="shared" si="5"/>
        <v>450</v>
      </c>
    </row>
    <row r="80" spans="1:48" s="62" customFormat="1" ht="31.5">
      <c r="A80" s="59"/>
      <c r="B80" s="60"/>
      <c r="C80" s="427"/>
      <c r="D80" s="428"/>
      <c r="E80" s="79"/>
      <c r="F80" s="150" t="s">
        <v>57</v>
      </c>
      <c r="G80" s="222" t="s">
        <v>279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610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610</v>
      </c>
      <c r="AU80" s="228"/>
      <c r="AV80" s="279">
        <f t="shared" si="5"/>
        <v>610</v>
      </c>
    </row>
    <row r="81" spans="1:49" s="62" customFormat="1" ht="31.5">
      <c r="A81" s="59"/>
      <c r="B81" s="60"/>
      <c r="C81" s="427"/>
      <c r="D81" s="428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284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723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723</v>
      </c>
      <c r="AU81" s="228"/>
      <c r="AV81" s="279">
        <f t="shared" si="5"/>
        <v>723</v>
      </c>
    </row>
    <row r="82" spans="1:49" s="62" customFormat="1" ht="26.25" customHeight="1">
      <c r="A82" s="59"/>
      <c r="B82" s="60"/>
      <c r="C82" s="137"/>
      <c r="D82" s="192"/>
      <c r="E82" s="79" t="s">
        <v>24</v>
      </c>
      <c r="F82" s="178" t="s">
        <v>58</v>
      </c>
      <c r="G82" s="222" t="s">
        <v>123</v>
      </c>
      <c r="H82" s="193" t="s">
        <v>91</v>
      </c>
      <c r="I82" s="193" t="s">
        <v>91</v>
      </c>
      <c r="J82" s="193">
        <v>5</v>
      </c>
      <c r="K82" s="193">
        <v>5</v>
      </c>
      <c r="L82" s="243">
        <v>2899.28</v>
      </c>
      <c r="M82" s="242">
        <f>J82*K82</f>
        <v>25</v>
      </c>
      <c r="N82" s="243">
        <f t="shared" si="1"/>
        <v>72482</v>
      </c>
      <c r="O82" s="193">
        <v>4</v>
      </c>
      <c r="P82" s="243">
        <v>8377.6</v>
      </c>
      <c r="Q82" s="193"/>
      <c r="R82" s="243"/>
      <c r="S82" s="193"/>
      <c r="T82" s="243"/>
      <c r="U82" s="203" t="s">
        <v>122</v>
      </c>
      <c r="V82" s="115">
        <v>1745</v>
      </c>
      <c r="W82" s="114">
        <v>43096</v>
      </c>
      <c r="X82" s="193" t="s">
        <v>117</v>
      </c>
      <c r="Y82" s="200">
        <v>43109</v>
      </c>
      <c r="Z82" s="193" t="s">
        <v>118</v>
      </c>
      <c r="AA82" s="200">
        <v>43133</v>
      </c>
      <c r="AB82" s="22">
        <v>0</v>
      </c>
      <c r="AC82" s="170">
        <v>0</v>
      </c>
      <c r="AD82" s="209">
        <v>4</v>
      </c>
      <c r="AE82" s="194">
        <v>9062.24</v>
      </c>
      <c r="AF82" s="209"/>
      <c r="AG82" s="194"/>
      <c r="AH82" s="209"/>
      <c r="AI82" s="194"/>
      <c r="AJ82" s="232"/>
      <c r="AK82" s="170">
        <f t="shared" si="6"/>
        <v>9062.24</v>
      </c>
      <c r="AL82" s="272">
        <v>0</v>
      </c>
      <c r="AM82" s="212">
        <v>0</v>
      </c>
      <c r="AN82" s="269">
        <v>4</v>
      </c>
      <c r="AO82" s="217">
        <f t="shared" ref="AO82:AO87" si="8">AC82+AK82-AM82</f>
        <v>9062.24</v>
      </c>
      <c r="AP82" s="232"/>
      <c r="AQ82" s="229"/>
      <c r="AR82" s="212">
        <v>2265.56</v>
      </c>
      <c r="AS82" s="212">
        <f t="shared" si="3"/>
        <v>0</v>
      </c>
      <c r="AT82" s="247">
        <v>4</v>
      </c>
      <c r="AU82" s="249">
        <f t="shared" si="4"/>
        <v>9062.24</v>
      </c>
      <c r="AV82" s="247">
        <f t="shared" si="5"/>
        <v>4</v>
      </c>
      <c r="AW82" s="139" t="s">
        <v>286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178" t="s">
        <v>58</v>
      </c>
      <c r="G83" s="222" t="s">
        <v>123</v>
      </c>
      <c r="H83" s="193" t="s">
        <v>91</v>
      </c>
      <c r="I83" s="193" t="s">
        <v>91</v>
      </c>
      <c r="J83" s="193"/>
      <c r="K83" s="193"/>
      <c r="L83" s="243"/>
      <c r="M83" s="242">
        <f t="shared" ref="M83:M87" si="9">J83*K83</f>
        <v>0</v>
      </c>
      <c r="N83" s="243">
        <f>L83*M83</f>
        <v>0</v>
      </c>
      <c r="O83" s="193"/>
      <c r="P83" s="243"/>
      <c r="Q83" s="193"/>
      <c r="R83" s="243"/>
      <c r="S83" s="193"/>
      <c r="T83" s="243"/>
      <c r="U83" s="203" t="s">
        <v>170</v>
      </c>
      <c r="V83" s="115">
        <v>834</v>
      </c>
      <c r="W83" s="114">
        <v>43222</v>
      </c>
      <c r="X83" s="193" t="s">
        <v>162</v>
      </c>
      <c r="Y83" s="200">
        <v>43242</v>
      </c>
      <c r="Z83" s="193"/>
      <c r="AA83" s="193"/>
      <c r="AB83" s="22">
        <v>0</v>
      </c>
      <c r="AC83" s="170">
        <v>0</v>
      </c>
      <c r="AD83" s="209">
        <v>2</v>
      </c>
      <c r="AE83" s="194">
        <v>4531.12</v>
      </c>
      <c r="AF83" s="209"/>
      <c r="AG83" s="194"/>
      <c r="AH83" s="209"/>
      <c r="AI83" s="194"/>
      <c r="AJ83" s="232"/>
      <c r="AK83" s="170">
        <f t="shared" si="6"/>
        <v>4531.12</v>
      </c>
      <c r="AL83" s="272">
        <v>0</v>
      </c>
      <c r="AM83" s="212">
        <v>0</v>
      </c>
      <c r="AN83" s="269">
        <v>2</v>
      </c>
      <c r="AO83" s="217">
        <f t="shared" si="8"/>
        <v>4531.12</v>
      </c>
      <c r="AP83" s="232"/>
      <c r="AQ83" s="229"/>
      <c r="AR83" s="212">
        <v>2265.56</v>
      </c>
      <c r="AS83" s="212">
        <f t="shared" si="3"/>
        <v>0</v>
      </c>
      <c r="AT83" s="247">
        <v>2</v>
      </c>
      <c r="AU83" s="249">
        <f t="shared" si="4"/>
        <v>4531.12</v>
      </c>
      <c r="AV83" s="247">
        <f t="shared" si="5"/>
        <v>2</v>
      </c>
    </row>
    <row r="84" spans="1:49" s="62" customFormat="1" ht="26.25" customHeight="1">
      <c r="A84" s="59"/>
      <c r="B84" s="60"/>
      <c r="C84" s="60"/>
      <c r="D84" s="22"/>
      <c r="E84" s="79" t="s">
        <v>24</v>
      </c>
      <c r="F84" s="161" t="s">
        <v>61</v>
      </c>
      <c r="G84" s="222" t="s">
        <v>127</v>
      </c>
      <c r="H84" s="193" t="s">
        <v>91</v>
      </c>
      <c r="I84" s="193" t="s">
        <v>91</v>
      </c>
      <c r="J84" s="193">
        <v>48</v>
      </c>
      <c r="K84" s="193">
        <v>3</v>
      </c>
      <c r="L84" s="243">
        <v>71.97</v>
      </c>
      <c r="M84" s="242">
        <f t="shared" si="9"/>
        <v>144</v>
      </c>
      <c r="N84" s="243">
        <f t="shared" ref="N84:N87" si="10">L84*M84</f>
        <v>10363.68</v>
      </c>
      <c r="O84" s="193">
        <v>14</v>
      </c>
      <c r="P84" s="243">
        <v>714.98</v>
      </c>
      <c r="Q84" s="193"/>
      <c r="R84" s="243"/>
      <c r="S84" s="193"/>
      <c r="T84" s="243"/>
      <c r="U84" s="203" t="s">
        <v>128</v>
      </c>
      <c r="V84" s="115">
        <v>135</v>
      </c>
      <c r="W84" s="114">
        <v>42761</v>
      </c>
      <c r="X84" s="193" t="s">
        <v>126</v>
      </c>
      <c r="Y84" s="200">
        <v>43130</v>
      </c>
      <c r="Z84" s="193"/>
      <c r="AA84" s="193"/>
      <c r="AB84" s="22">
        <v>0</v>
      </c>
      <c r="AC84" s="170">
        <v>0</v>
      </c>
      <c r="AD84" s="209">
        <v>14</v>
      </c>
      <c r="AE84" s="194">
        <v>774.48</v>
      </c>
      <c r="AF84" s="209"/>
      <c r="AG84" s="194"/>
      <c r="AH84" s="209"/>
      <c r="AI84" s="194"/>
      <c r="AJ84" s="232"/>
      <c r="AK84" s="170">
        <f t="shared" si="6"/>
        <v>774.48</v>
      </c>
      <c r="AL84" s="272">
        <v>0</v>
      </c>
      <c r="AM84" s="212">
        <v>0</v>
      </c>
      <c r="AN84" s="269">
        <v>14</v>
      </c>
      <c r="AO84" s="217">
        <f t="shared" si="8"/>
        <v>774.48</v>
      </c>
      <c r="AP84" s="232"/>
      <c r="AQ84" s="229"/>
      <c r="AR84" s="212">
        <v>55.32</v>
      </c>
      <c r="AS84" s="212">
        <f t="shared" si="3"/>
        <v>0</v>
      </c>
      <c r="AT84" s="227">
        <f>14-2</f>
        <v>12</v>
      </c>
      <c r="AU84" s="228">
        <f t="shared" si="4"/>
        <v>663.84</v>
      </c>
      <c r="AV84" s="279">
        <f t="shared" si="5"/>
        <v>12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/>
      <c r="K85" s="193"/>
      <c r="L85" s="243"/>
      <c r="M85" s="242">
        <f t="shared" si="9"/>
        <v>0</v>
      </c>
      <c r="N85" s="243">
        <f t="shared" si="10"/>
        <v>0</v>
      </c>
      <c r="O85" s="193"/>
      <c r="P85" s="243"/>
      <c r="Q85" s="193"/>
      <c r="R85" s="243"/>
      <c r="S85" s="193"/>
      <c r="T85" s="243"/>
      <c r="U85" s="203" t="s">
        <v>171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26</v>
      </c>
      <c r="AE85" s="194">
        <v>1438.32</v>
      </c>
      <c r="AF85" s="209"/>
      <c r="AG85" s="194"/>
      <c r="AH85" s="209"/>
      <c r="AI85" s="194"/>
      <c r="AJ85" s="232"/>
      <c r="AK85" s="170">
        <f t="shared" si="6"/>
        <v>1438.32</v>
      </c>
      <c r="AL85" s="272">
        <v>0</v>
      </c>
      <c r="AM85" s="212">
        <v>0</v>
      </c>
      <c r="AN85" s="269">
        <v>26</v>
      </c>
      <c r="AO85" s="217">
        <f t="shared" si="8"/>
        <v>1438.32</v>
      </c>
      <c r="AP85" s="232"/>
      <c r="AQ85" s="229"/>
      <c r="AR85" s="212">
        <v>55.32</v>
      </c>
      <c r="AS85" s="212">
        <f t="shared" si="3"/>
        <v>0</v>
      </c>
      <c r="AT85" s="227">
        <v>26</v>
      </c>
      <c r="AU85" s="228">
        <f t="shared" si="4"/>
        <v>1438.32</v>
      </c>
      <c r="AV85" s="279">
        <f t="shared" si="5"/>
        <v>26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79" t="s">
        <v>62</v>
      </c>
      <c r="G86" s="222" t="s">
        <v>129</v>
      </c>
      <c r="H86" s="193" t="s">
        <v>91</v>
      </c>
      <c r="I86" s="193" t="s">
        <v>91</v>
      </c>
      <c r="J86" s="193">
        <v>24</v>
      </c>
      <c r="K86" s="193">
        <v>4</v>
      </c>
      <c r="L86" s="243">
        <v>984.1</v>
      </c>
      <c r="M86" s="242">
        <f t="shared" si="9"/>
        <v>96</v>
      </c>
      <c r="N86" s="243">
        <f t="shared" si="10"/>
        <v>94473.600000000006</v>
      </c>
      <c r="O86" s="193">
        <v>6</v>
      </c>
      <c r="P86" s="243">
        <v>4721.3999999999996</v>
      </c>
      <c r="Q86" s="193"/>
      <c r="R86" s="243"/>
      <c r="S86" s="193"/>
      <c r="T86" s="243"/>
      <c r="U86" s="203" t="s">
        <v>130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6</v>
      </c>
      <c r="AE86" s="194">
        <v>4549.08</v>
      </c>
      <c r="AF86" s="209"/>
      <c r="AG86" s="194"/>
      <c r="AH86" s="209"/>
      <c r="AI86" s="194"/>
      <c r="AJ86" s="232"/>
      <c r="AK86" s="170">
        <f t="shared" si="6"/>
        <v>4549.08</v>
      </c>
      <c r="AL86" s="272">
        <v>0</v>
      </c>
      <c r="AM86" s="212">
        <v>0</v>
      </c>
      <c r="AN86" s="269">
        <v>6</v>
      </c>
      <c r="AO86" s="217">
        <f t="shared" si="8"/>
        <v>4549.08</v>
      </c>
      <c r="AP86" s="232"/>
      <c r="AQ86" s="229"/>
      <c r="AR86" s="212">
        <v>758.18</v>
      </c>
      <c r="AS86" s="212">
        <f t="shared" si="3"/>
        <v>0</v>
      </c>
      <c r="AT86" s="227">
        <v>6</v>
      </c>
      <c r="AU86" s="228">
        <f t="shared" si="4"/>
        <v>4549.08</v>
      </c>
      <c r="AV86" s="279">
        <f t="shared" si="5"/>
        <v>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/>
      <c r="K87" s="193"/>
      <c r="L87" s="243"/>
      <c r="M87" s="242">
        <f t="shared" si="9"/>
        <v>0</v>
      </c>
      <c r="N87" s="243">
        <f t="shared" si="10"/>
        <v>0</v>
      </c>
      <c r="O87" s="193"/>
      <c r="P87" s="243"/>
      <c r="Q87" s="193"/>
      <c r="R87" s="243"/>
      <c r="S87" s="193"/>
      <c r="T87" s="243"/>
      <c r="U87" s="203" t="s">
        <v>172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10</v>
      </c>
      <c r="AE87" s="194">
        <v>7581.8</v>
      </c>
      <c r="AF87" s="209"/>
      <c r="AG87" s="194"/>
      <c r="AH87" s="209"/>
      <c r="AI87" s="194"/>
      <c r="AJ87" s="232"/>
      <c r="AK87" s="170">
        <f t="shared" si="6"/>
        <v>7581.8</v>
      </c>
      <c r="AL87" s="272">
        <v>0</v>
      </c>
      <c r="AM87" s="212">
        <v>0</v>
      </c>
      <c r="AN87" s="269">
        <v>10</v>
      </c>
      <c r="AO87" s="217">
        <f t="shared" si="8"/>
        <v>7581.8</v>
      </c>
      <c r="AP87" s="232"/>
      <c r="AQ87" s="229"/>
      <c r="AR87" s="212">
        <v>758.18</v>
      </c>
      <c r="AS87" s="212">
        <f t="shared" ref="AS87" si="11">AQ87*AR87</f>
        <v>0</v>
      </c>
      <c r="AT87" s="227">
        <v>10</v>
      </c>
      <c r="AU87" s="228">
        <f t="shared" ref="AU87" si="12">AT87*AR87</f>
        <v>7581.7999999999993</v>
      </c>
      <c r="AV87" s="279">
        <f t="shared" ref="AV87" si="13">AT87</f>
        <v>10</v>
      </c>
    </row>
    <row r="88" spans="1:49" s="62" customFormat="1" ht="26.25" customHeight="1">
      <c r="A88" s="59"/>
      <c r="B88" s="60"/>
      <c r="C88" s="60"/>
      <c r="D88" s="22"/>
      <c r="E88" s="79"/>
      <c r="F88" s="179" t="s">
        <v>62</v>
      </c>
      <c r="G88" s="222" t="s">
        <v>129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/>
      <c r="V88" s="115"/>
      <c r="W88" s="114"/>
      <c r="X88" s="193"/>
      <c r="Y88" s="200"/>
      <c r="Z88" s="193"/>
      <c r="AA88" s="193"/>
      <c r="AB88" s="22"/>
      <c r="AC88" s="170"/>
      <c r="AD88" s="209"/>
      <c r="AE88" s="194"/>
      <c r="AF88" s="209"/>
      <c r="AG88" s="194"/>
      <c r="AH88" s="209"/>
      <c r="AI88" s="194"/>
      <c r="AJ88" s="232"/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4</v>
      </c>
      <c r="AU88" s="228"/>
      <c r="AV88" s="279">
        <v>4</v>
      </c>
    </row>
    <row r="89" spans="1:49" s="251" customFormat="1" ht="21" customHeight="1">
      <c r="A89" s="20" t="s">
        <v>11</v>
      </c>
      <c r="B89" s="20"/>
      <c r="C89" s="20"/>
      <c r="D89" s="695" t="s">
        <v>34</v>
      </c>
      <c r="E89" s="696"/>
      <c r="F89" s="697"/>
      <c r="G89" s="246"/>
      <c r="H89" s="246"/>
      <c r="I89" s="246"/>
      <c r="J89" s="246"/>
      <c r="K89" s="247">
        <f>SUM(K17:K88)</f>
        <v>25</v>
      </c>
      <c r="L89" s="248"/>
      <c r="M89" s="246"/>
      <c r="N89" s="249">
        <f>SUM(N17:N88)</f>
        <v>2265445.04</v>
      </c>
      <c r="O89" s="248"/>
      <c r="P89" s="249">
        <f>SUM(P17:P88)</f>
        <v>1348643.8</v>
      </c>
      <c r="Q89" s="248"/>
      <c r="R89" s="249">
        <f>SUM(R17:R88)</f>
        <v>1035525.6</v>
      </c>
      <c r="S89" s="248"/>
      <c r="T89" s="249">
        <f>SUM(T17:T88)</f>
        <v>493933.38</v>
      </c>
      <c r="U89" s="291" t="s">
        <v>156</v>
      </c>
      <c r="V89" s="291" t="s">
        <v>156</v>
      </c>
      <c r="W89" s="291" t="s">
        <v>156</v>
      </c>
      <c r="X89" s="250" t="s">
        <v>156</v>
      </c>
      <c r="Y89" s="250" t="s">
        <v>156</v>
      </c>
      <c r="Z89" s="250" t="s">
        <v>156</v>
      </c>
      <c r="AA89" s="250" t="s">
        <v>156</v>
      </c>
      <c r="AB89" s="176">
        <f>SUM(AB17:AB35)</f>
        <v>350</v>
      </c>
      <c r="AC89" s="171">
        <f>SUM(AC17:AC63)</f>
        <v>190344.16</v>
      </c>
      <c r="AD89" s="210">
        <f t="shared" ref="AD89:AQ89" si="14">SUM(AD17:AD88)</f>
        <v>5451</v>
      </c>
      <c r="AE89" s="195">
        <f t="shared" si="14"/>
        <v>1221314.8600000001</v>
      </c>
      <c r="AF89" s="210">
        <f t="shared" si="14"/>
        <v>0</v>
      </c>
      <c r="AG89" s="195">
        <f t="shared" si="14"/>
        <v>0</v>
      </c>
      <c r="AH89" s="210">
        <f t="shared" si="14"/>
        <v>0</v>
      </c>
      <c r="AI89" s="195">
        <f t="shared" si="14"/>
        <v>0</v>
      </c>
      <c r="AJ89" s="210">
        <f t="shared" si="14"/>
        <v>3904</v>
      </c>
      <c r="AK89" s="175">
        <f t="shared" si="14"/>
        <v>1221314.8600000001</v>
      </c>
      <c r="AL89" s="213">
        <f t="shared" si="14"/>
        <v>847</v>
      </c>
      <c r="AM89" s="214">
        <f t="shared" si="14"/>
        <v>232006.65000000002</v>
      </c>
      <c r="AN89" s="218">
        <f t="shared" si="14"/>
        <v>4954</v>
      </c>
      <c r="AO89" s="219">
        <f t="shared" si="14"/>
        <v>1163059.4400000002</v>
      </c>
      <c r="AP89" s="286">
        <f t="shared" si="14"/>
        <v>0</v>
      </c>
      <c r="AQ89" s="287">
        <f t="shared" si="14"/>
        <v>0</v>
      </c>
      <c r="AR89" s="226" t="s">
        <v>156</v>
      </c>
      <c r="AS89" s="226">
        <f>SUM(AS17:AS88)</f>
        <v>0</v>
      </c>
      <c r="AT89" s="227">
        <f>SUM(AT17:AT88)</f>
        <v>7060</v>
      </c>
      <c r="AU89" s="228">
        <f>SUM(AU17:AU88)</f>
        <v>723052.49</v>
      </c>
      <c r="AV89" s="510">
        <f>SUM(AV17:AV88)</f>
        <v>7060</v>
      </c>
    </row>
    <row r="90" spans="1:49" s="336" customFormat="1" ht="21" customHeight="1">
      <c r="A90" s="20"/>
      <c r="B90" s="20"/>
      <c r="C90" s="20"/>
      <c r="D90" s="294"/>
      <c r="E90" s="294"/>
      <c r="F90" s="294"/>
      <c r="G90" s="330"/>
      <c r="H90" s="330"/>
      <c r="I90" s="330"/>
      <c r="J90" s="330"/>
      <c r="K90" s="331"/>
      <c r="L90" s="332"/>
      <c r="M90" s="330"/>
      <c r="N90" s="333"/>
      <c r="O90" s="332"/>
      <c r="P90" s="333"/>
      <c r="Q90" s="332"/>
      <c r="R90" s="333"/>
      <c r="S90" s="332"/>
      <c r="T90" s="333"/>
      <c r="U90" s="295"/>
      <c r="V90" s="295"/>
      <c r="W90" s="295"/>
      <c r="X90" s="295"/>
      <c r="Y90" s="295"/>
      <c r="Z90" s="295"/>
      <c r="AA90" s="295"/>
      <c r="AB90" s="296"/>
      <c r="AC90" s="297"/>
      <c r="AD90" s="296"/>
      <c r="AE90" s="297"/>
      <c r="AF90" s="296"/>
      <c r="AG90" s="297"/>
      <c r="AH90" s="296"/>
      <c r="AI90" s="297"/>
      <c r="AJ90" s="478"/>
      <c r="AK90" s="299"/>
      <c r="AL90" s="334"/>
      <c r="AM90" s="297"/>
      <c r="AN90" s="296"/>
      <c r="AO90" s="297"/>
      <c r="AP90" s="298"/>
      <c r="AQ90" s="335"/>
      <c r="AR90" s="333"/>
      <c r="AS90" s="333"/>
      <c r="AT90" s="331"/>
      <c r="AU90" s="333"/>
      <c r="AV90" s="331"/>
    </row>
    <row r="91" spans="1:49" s="336" customFormat="1" ht="21" hidden="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292" customFormat="1" ht="20.25" hidden="1">
      <c r="A92" s="301"/>
      <c r="B92" s="301"/>
      <c r="C92" s="301"/>
      <c r="D92" s="302"/>
      <c r="E92" s="301"/>
      <c r="F92" s="303" t="s">
        <v>205</v>
      </c>
      <c r="G92" s="303"/>
      <c r="H92" s="303" t="s">
        <v>208</v>
      </c>
      <c r="I92" s="303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3"/>
      <c r="V92" s="303"/>
      <c r="X92" s="303"/>
      <c r="Y92" s="303"/>
      <c r="Z92" s="303"/>
      <c r="AA92" s="303" t="s">
        <v>208</v>
      </c>
      <c r="AB92" s="303"/>
      <c r="AC92" s="303"/>
      <c r="AD92" s="303"/>
      <c r="AE92" s="303"/>
      <c r="AF92" s="303"/>
      <c r="AG92" s="303"/>
      <c r="AH92" s="303"/>
      <c r="AI92" s="303"/>
      <c r="AJ92" s="479"/>
      <c r="AK92" s="303"/>
      <c r="AL92" s="301"/>
      <c r="AM92" s="30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9" s="292" customFormat="1" ht="20.25" hidden="1">
      <c r="A93" s="301"/>
      <c r="B93" s="301"/>
      <c r="C93" s="301"/>
      <c r="D93" s="302"/>
      <c r="E93" s="301"/>
      <c r="F93" s="303"/>
      <c r="G93" s="303"/>
      <c r="H93" s="303"/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15" hidden="1" customHeight="1">
      <c r="A95" s="309"/>
      <c r="B95" s="309"/>
      <c r="C95" s="309"/>
      <c r="D95" s="302"/>
      <c r="E95" s="309"/>
      <c r="F95" s="310"/>
      <c r="G95" s="310"/>
      <c r="H95" s="308"/>
      <c r="I95" s="308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8"/>
      <c r="V95" s="311"/>
      <c r="AA95" s="311"/>
      <c r="AJ95" s="480"/>
      <c r="AK95" s="312"/>
      <c r="AL95" s="309"/>
      <c r="AM95" s="31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8" hidden="1" customHeight="1">
      <c r="A96" s="314" t="s">
        <v>12</v>
      </c>
      <c r="B96" s="314"/>
      <c r="C96" s="314"/>
      <c r="D96" s="315"/>
      <c r="E96" s="314"/>
      <c r="F96" s="316" t="s">
        <v>206</v>
      </c>
      <c r="G96" s="316"/>
      <c r="H96" s="736" t="s">
        <v>209</v>
      </c>
      <c r="I96" s="736"/>
      <c r="J96" s="736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8"/>
      <c r="V96" s="319"/>
      <c r="X96" s="303"/>
      <c r="Y96" s="316"/>
      <c r="Z96" s="316"/>
      <c r="AA96" s="320" t="s">
        <v>209</v>
      </c>
      <c r="AB96" s="316"/>
      <c r="AC96" s="316"/>
      <c r="AD96" s="316"/>
      <c r="AE96" s="316"/>
      <c r="AF96" s="316"/>
      <c r="AG96" s="316"/>
      <c r="AH96" s="316"/>
      <c r="AI96" s="316"/>
      <c r="AJ96" s="481"/>
      <c r="AK96" s="316"/>
      <c r="AL96" s="314"/>
      <c r="AM96" s="316"/>
      <c r="AN96" s="314"/>
      <c r="AO96" s="321"/>
      <c r="AP96" s="307"/>
      <c r="AQ96" s="302"/>
      <c r="AR96" s="308"/>
      <c r="AS96" s="308"/>
      <c r="AT96" s="302"/>
      <c r="AU96" s="302"/>
      <c r="AV96" s="302"/>
    </row>
    <row r="97" spans="1:48" s="62" customFormat="1" ht="18.75" hidden="1">
      <c r="A97" s="11"/>
      <c r="B97" s="11"/>
      <c r="C97" s="11"/>
      <c r="D97" s="255"/>
      <c r="E97" s="11"/>
      <c r="F97" s="322"/>
      <c r="G97" s="322"/>
      <c r="H97" s="322"/>
      <c r="I97" s="322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482"/>
      <c r="AK97" s="322"/>
      <c r="AL97" s="324"/>
      <c r="AM97" s="322"/>
      <c r="AN97" s="281"/>
      <c r="AO97" s="325"/>
      <c r="AP97" s="326"/>
      <c r="AQ97" s="508"/>
      <c r="AR97" s="255"/>
      <c r="AS97" s="255"/>
      <c r="AT97" s="508"/>
      <c r="AU97" s="508"/>
      <c r="AV97" s="508"/>
    </row>
    <row r="98" spans="1:48" s="103" customFormat="1" ht="57.75" hidden="1" customHeight="1">
      <c r="A98" s="11"/>
      <c r="B98" s="11"/>
      <c r="C98" s="11"/>
      <c r="D98" s="255"/>
      <c r="E98" s="720" t="s">
        <v>207</v>
      </c>
      <c r="F98" s="720"/>
      <c r="G98" s="327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9"/>
      <c r="W98" s="329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483"/>
      <c r="AK98" s="11"/>
      <c r="AL98" s="281"/>
      <c r="AM98" s="11"/>
      <c r="AN98" s="281"/>
      <c r="AP98" s="326"/>
      <c r="AQ98" s="508"/>
      <c r="AR98" s="255"/>
      <c r="AS98" s="255"/>
      <c r="AT98" s="508"/>
      <c r="AU98" s="508"/>
      <c r="AV98" s="508"/>
    </row>
  </sheetData>
  <mergeCells count="40">
    <mergeCell ref="D11:AV11"/>
    <mergeCell ref="E6:AT6"/>
    <mergeCell ref="D7:AV7"/>
    <mergeCell ref="D8:AV8"/>
    <mergeCell ref="D9:AV9"/>
    <mergeCell ref="D10:AV10"/>
    <mergeCell ref="E98:F9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89:F89"/>
    <mergeCell ref="H96:J96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8"/>
  <sheetViews>
    <sheetView view="pageBreakPreview" topLeftCell="C10" zoomScale="70" zoomScaleSheetLayoutView="70" workbookViewId="0">
      <selection activeCell="AZ14" sqref="AZ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15"/>
      <c r="AR1" s="255"/>
      <c r="AS1" s="255"/>
      <c r="AT1" s="515"/>
      <c r="AU1" s="515"/>
      <c r="AV1" s="515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15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15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289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15"/>
      <c r="AR12" s="255"/>
      <c r="AS12" s="255"/>
      <c r="AT12" s="516"/>
      <c r="AU12" s="516"/>
      <c r="AV12" s="516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290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16"/>
      <c r="D16" s="748"/>
      <c r="E16" s="685"/>
      <c r="F16" s="685"/>
      <c r="G16" s="202"/>
      <c r="H16" s="201"/>
      <c r="I16" s="201"/>
      <c r="J16" s="241"/>
      <c r="K16" s="241"/>
      <c r="L16" s="241"/>
      <c r="M16" s="511" t="s">
        <v>77</v>
      </c>
      <c r="N16" s="511" t="s">
        <v>78</v>
      </c>
      <c r="O16" s="511" t="s">
        <v>77</v>
      </c>
      <c r="P16" s="511" t="s">
        <v>78</v>
      </c>
      <c r="Q16" s="511" t="s">
        <v>77</v>
      </c>
      <c r="R16" s="511" t="s">
        <v>78</v>
      </c>
      <c r="S16" s="511" t="s">
        <v>77</v>
      </c>
      <c r="T16" s="51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12" t="s">
        <v>77</v>
      </c>
      <c r="AE16" s="512" t="s">
        <v>78</v>
      </c>
      <c r="AF16" s="205" t="s">
        <v>77</v>
      </c>
      <c r="AG16" s="205" t="s">
        <v>78</v>
      </c>
      <c r="AH16" s="512" t="s">
        <v>77</v>
      </c>
      <c r="AI16" s="512" t="s">
        <v>78</v>
      </c>
      <c r="AJ16" s="207" t="s">
        <v>96</v>
      </c>
      <c r="AK16" s="96" t="s">
        <v>19</v>
      </c>
      <c r="AL16" s="513" t="s">
        <v>96</v>
      </c>
      <c r="AM16" s="513" t="s">
        <v>19</v>
      </c>
      <c r="AN16" s="216" t="s">
        <v>96</v>
      </c>
      <c r="AO16" s="216" t="s">
        <v>19</v>
      </c>
      <c r="AP16" s="207" t="s">
        <v>96</v>
      </c>
      <c r="AQ16" s="513" t="s">
        <v>96</v>
      </c>
      <c r="AR16" s="513" t="s">
        <v>107</v>
      </c>
      <c r="AS16" s="513" t="s">
        <v>19</v>
      </c>
      <c r="AT16" s="514" t="s">
        <v>96</v>
      </c>
      <c r="AU16" s="514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6" si="3">AQ18*AR18</f>
        <v>0</v>
      </c>
      <c r="AT18" s="247">
        <v>1</v>
      </c>
      <c r="AU18" s="228">
        <f t="shared" ref="AU18:AU86" si="4">AT18*AR18</f>
        <v>1026.1600000000001</v>
      </c>
      <c r="AV18" s="247">
        <f t="shared" ref="AV18:AV86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7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90-55-35</f>
        <v>0</v>
      </c>
      <c r="AU29" s="228">
        <f t="shared" si="4"/>
        <v>0</v>
      </c>
      <c r="AV29" s="279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f>15-15</f>
        <v>0</v>
      </c>
      <c r="AU30" s="228"/>
      <c r="AV30" s="279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25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527" t="s">
        <v>132</v>
      </c>
      <c r="V44" s="193">
        <v>234</v>
      </c>
      <c r="W44" s="532">
        <v>43143</v>
      </c>
      <c r="X44" s="193" t="s">
        <v>143</v>
      </c>
      <c r="Y44" s="200">
        <v>43164</v>
      </c>
      <c r="Z44" s="193"/>
      <c r="AA44" s="193"/>
      <c r="AB44" s="192">
        <v>0</v>
      </c>
      <c r="AC44" s="530">
        <v>0</v>
      </c>
      <c r="AD44" s="531">
        <v>15</v>
      </c>
      <c r="AE44" s="530">
        <v>3032.7</v>
      </c>
      <c r="AF44" s="531"/>
      <c r="AG44" s="530"/>
      <c r="AH44" s="531"/>
      <c r="AI44" s="530"/>
      <c r="AJ44" s="247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15</v>
      </c>
      <c r="AU44" s="228">
        <f t="shared" si="4"/>
        <v>3032.7000000000003</v>
      </c>
      <c r="AV44" s="247">
        <f t="shared" si="5"/>
        <v>15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124</v>
      </c>
      <c r="V48" s="115">
        <v>135</v>
      </c>
      <c r="W48" s="114">
        <v>42761</v>
      </c>
      <c r="X48" s="193" t="s">
        <v>126</v>
      </c>
      <c r="Y48" s="200">
        <v>43130</v>
      </c>
      <c r="Z48" s="193"/>
      <c r="AA48" s="193"/>
      <c r="AB48" s="22">
        <v>0</v>
      </c>
      <c r="AC48" s="170">
        <v>0</v>
      </c>
      <c r="AD48" s="209">
        <v>155</v>
      </c>
      <c r="AE48" s="194">
        <v>31337.9</v>
      </c>
      <c r="AF48" s="209"/>
      <c r="AG48" s="194"/>
      <c r="AH48" s="209"/>
      <c r="AI48" s="194"/>
      <c r="AJ48" s="232"/>
      <c r="AK48" s="170">
        <f t="shared" si="6"/>
        <v>31337.9</v>
      </c>
      <c r="AL48" s="272">
        <v>0</v>
      </c>
      <c r="AM48" s="212">
        <v>0</v>
      </c>
      <c r="AN48" s="269">
        <v>155</v>
      </c>
      <c r="AO48" s="217">
        <f t="shared" si="2"/>
        <v>31337.9</v>
      </c>
      <c r="AP48" s="232"/>
      <c r="AQ48" s="229"/>
      <c r="AR48" s="212">
        <v>202.18</v>
      </c>
      <c r="AS48" s="212">
        <f t="shared" si="3"/>
        <v>0</v>
      </c>
      <c r="AT48" s="227">
        <f>155-155</f>
        <v>0</v>
      </c>
      <c r="AU48" s="228">
        <f t="shared" si="4"/>
        <v>0</v>
      </c>
      <c r="AV48" s="279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340</v>
      </c>
      <c r="AU49" s="249">
        <f t="shared" si="4"/>
        <v>68741.2</v>
      </c>
      <c r="AV49" s="247">
        <f t="shared" si="5"/>
        <v>340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1006</v>
      </c>
      <c r="W52" s="114">
        <v>43244</v>
      </c>
      <c r="X52" s="193" t="s">
        <v>179</v>
      </c>
      <c r="Y52" s="200">
        <v>43285</v>
      </c>
      <c r="Z52" s="193"/>
      <c r="AA52" s="193"/>
      <c r="AB52" s="22">
        <v>0</v>
      </c>
      <c r="AC52" s="170">
        <v>0</v>
      </c>
      <c r="AD52" s="209">
        <v>45</v>
      </c>
      <c r="AE52" s="194">
        <v>8820</v>
      </c>
      <c r="AF52" s="209"/>
      <c r="AG52" s="194"/>
      <c r="AH52" s="209"/>
      <c r="AI52" s="194"/>
      <c r="AJ52" s="232"/>
      <c r="AK52" s="170">
        <f t="shared" si="6"/>
        <v>8820</v>
      </c>
      <c r="AL52" s="272">
        <v>0</v>
      </c>
      <c r="AM52" s="212">
        <v>0</v>
      </c>
      <c r="AN52" s="269">
        <v>45</v>
      </c>
      <c r="AO52" s="217">
        <f t="shared" si="2"/>
        <v>8820</v>
      </c>
      <c r="AP52" s="232"/>
      <c r="AQ52" s="229"/>
      <c r="AR52" s="212">
        <v>196</v>
      </c>
      <c r="AS52" s="212">
        <f t="shared" si="3"/>
        <v>0</v>
      </c>
      <c r="AT52" s="227">
        <f>45-45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175</v>
      </c>
      <c r="V53" s="115">
        <v>1006</v>
      </c>
      <c r="W53" s="114">
        <v>43244</v>
      </c>
      <c r="X53" s="193" t="s">
        <v>179</v>
      </c>
      <c r="Y53" s="200">
        <v>43285</v>
      </c>
      <c r="Z53" s="193"/>
      <c r="AA53" s="193"/>
      <c r="AB53" s="22">
        <v>0</v>
      </c>
      <c r="AC53" s="170">
        <v>0</v>
      </c>
      <c r="AD53" s="209">
        <v>55</v>
      </c>
      <c r="AE53" s="194">
        <v>11119.9</v>
      </c>
      <c r="AF53" s="209"/>
      <c r="AG53" s="194"/>
      <c r="AH53" s="209"/>
      <c r="AI53" s="194"/>
      <c r="AJ53" s="232"/>
      <c r="AK53" s="170">
        <f t="shared" si="6"/>
        <v>11119.9</v>
      </c>
      <c r="AL53" s="272">
        <v>0</v>
      </c>
      <c r="AM53" s="212">
        <v>0</v>
      </c>
      <c r="AN53" s="269">
        <v>55</v>
      </c>
      <c r="AO53" s="217">
        <f t="shared" si="2"/>
        <v>11119.9</v>
      </c>
      <c r="AP53" s="232"/>
      <c r="AQ53" s="229"/>
      <c r="AR53" s="212">
        <v>202.18</v>
      </c>
      <c r="AS53" s="212">
        <f t="shared" si="3"/>
        <v>0</v>
      </c>
      <c r="AT53" s="227">
        <f>55-55</f>
        <v>0</v>
      </c>
      <c r="AU53" s="228">
        <f t="shared" si="4"/>
        <v>0</v>
      </c>
      <c r="AV53" s="279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262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234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234</v>
      </c>
      <c r="AU69" s="386"/>
      <c r="AV69" s="279">
        <f t="shared" si="5"/>
        <v>234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263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14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14</v>
      </c>
      <c r="AU70" s="386"/>
      <c r="AV70" s="279">
        <f t="shared" si="5"/>
        <v>14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36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36</v>
      </c>
      <c r="AU71" s="386"/>
      <c r="AV71" s="279">
        <f t="shared" si="5"/>
        <v>36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31.5">
      <c r="A78" s="59"/>
      <c r="B78" s="60"/>
      <c r="C78" s="60"/>
      <c r="D78" s="22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f>766-240</f>
        <v>526</v>
      </c>
      <c r="AU78" s="228"/>
      <c r="AV78" s="279">
        <f t="shared" si="5"/>
        <v>526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450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450</v>
      </c>
      <c r="AU79" s="228"/>
      <c r="AV79" s="279">
        <f t="shared" si="5"/>
        <v>450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279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610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610</v>
      </c>
      <c r="AU80" s="228"/>
      <c r="AV80" s="279">
        <f t="shared" si="5"/>
        <v>610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284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723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723</v>
      </c>
      <c r="AU81" s="228"/>
      <c r="AV81" s="279">
        <f t="shared" si="5"/>
        <v>723</v>
      </c>
    </row>
    <row r="82" spans="1:49" s="62" customFormat="1" ht="26.25" customHeight="1">
      <c r="A82" s="59"/>
      <c r="B82" s="60"/>
      <c r="C82" s="137"/>
      <c r="D82" s="192"/>
      <c r="E82" s="79" t="s">
        <v>24</v>
      </c>
      <c r="F82" s="525" t="s">
        <v>58</v>
      </c>
      <c r="G82" s="222" t="s">
        <v>123</v>
      </c>
      <c r="H82" s="193" t="s">
        <v>91</v>
      </c>
      <c r="I82" s="193" t="s">
        <v>91</v>
      </c>
      <c r="J82" s="193">
        <v>5</v>
      </c>
      <c r="K82" s="193">
        <v>5</v>
      </c>
      <c r="L82" s="243">
        <v>2899.28</v>
      </c>
      <c r="M82" s="242">
        <f>J82*K82</f>
        <v>25</v>
      </c>
      <c r="N82" s="243">
        <f t="shared" si="1"/>
        <v>72482</v>
      </c>
      <c r="O82" s="193">
        <v>4</v>
      </c>
      <c r="P82" s="243">
        <v>8377.6</v>
      </c>
      <c r="Q82" s="193"/>
      <c r="R82" s="243"/>
      <c r="S82" s="193"/>
      <c r="T82" s="243"/>
      <c r="U82" s="527" t="s">
        <v>122</v>
      </c>
      <c r="V82" s="193">
        <v>1745</v>
      </c>
      <c r="W82" s="532">
        <v>43096</v>
      </c>
      <c r="X82" s="193" t="s">
        <v>117</v>
      </c>
      <c r="Y82" s="200">
        <v>43109</v>
      </c>
      <c r="Z82" s="193" t="s">
        <v>118</v>
      </c>
      <c r="AA82" s="200">
        <v>43133</v>
      </c>
      <c r="AB82" s="192">
        <v>0</v>
      </c>
      <c r="AC82" s="530">
        <v>0</v>
      </c>
      <c r="AD82" s="531">
        <v>4</v>
      </c>
      <c r="AE82" s="530">
        <v>9062.24</v>
      </c>
      <c r="AF82" s="531"/>
      <c r="AG82" s="530"/>
      <c r="AH82" s="531"/>
      <c r="AI82" s="530"/>
      <c r="AJ82" s="247"/>
      <c r="AK82" s="170">
        <f t="shared" si="6"/>
        <v>9062.24</v>
      </c>
      <c r="AL82" s="272">
        <v>0</v>
      </c>
      <c r="AM82" s="212">
        <v>0</v>
      </c>
      <c r="AN82" s="269">
        <v>4</v>
      </c>
      <c r="AO82" s="217">
        <f t="shared" ref="AO82:AO87" si="8">AC82+AK82-AM82</f>
        <v>9062.24</v>
      </c>
      <c r="AP82" s="232"/>
      <c r="AQ82" s="229"/>
      <c r="AR82" s="212">
        <v>2265.56</v>
      </c>
      <c r="AS82" s="212">
        <f t="shared" si="3"/>
        <v>0</v>
      </c>
      <c r="AT82" s="247">
        <v>4</v>
      </c>
      <c r="AU82" s="249">
        <f t="shared" si="4"/>
        <v>9062.24</v>
      </c>
      <c r="AV82" s="247">
        <f t="shared" si="5"/>
        <v>4</v>
      </c>
      <c r="AW82" s="533" t="s">
        <v>286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/>
      <c r="K83" s="193"/>
      <c r="L83" s="243"/>
      <c r="M83" s="242">
        <f t="shared" ref="M83:M87" si="9">J83*K83</f>
        <v>0</v>
      </c>
      <c r="N83" s="243">
        <f>L83*M83</f>
        <v>0</v>
      </c>
      <c r="O83" s="193"/>
      <c r="P83" s="243"/>
      <c r="Q83" s="193"/>
      <c r="R83" s="243"/>
      <c r="S83" s="193"/>
      <c r="T83" s="243"/>
      <c r="U83" s="527" t="s">
        <v>170</v>
      </c>
      <c r="V83" s="193">
        <v>834</v>
      </c>
      <c r="W83" s="532">
        <v>43222</v>
      </c>
      <c r="X83" s="193" t="s">
        <v>162</v>
      </c>
      <c r="Y83" s="200">
        <v>43242</v>
      </c>
      <c r="Z83" s="193"/>
      <c r="AA83" s="193"/>
      <c r="AB83" s="192">
        <v>0</v>
      </c>
      <c r="AC83" s="530">
        <v>0</v>
      </c>
      <c r="AD83" s="531">
        <v>2</v>
      </c>
      <c r="AE83" s="530">
        <v>4531.12</v>
      </c>
      <c r="AF83" s="531"/>
      <c r="AG83" s="530"/>
      <c r="AH83" s="531"/>
      <c r="AI83" s="530"/>
      <c r="AJ83" s="247"/>
      <c r="AK83" s="170">
        <f t="shared" si="6"/>
        <v>4531.12</v>
      </c>
      <c r="AL83" s="272">
        <v>0</v>
      </c>
      <c r="AM83" s="212">
        <v>0</v>
      </c>
      <c r="AN83" s="269">
        <v>2</v>
      </c>
      <c r="AO83" s="217">
        <f t="shared" si="8"/>
        <v>4531.12</v>
      </c>
      <c r="AP83" s="232"/>
      <c r="AQ83" s="229"/>
      <c r="AR83" s="212">
        <v>2265.56</v>
      </c>
      <c r="AS83" s="212">
        <f t="shared" si="3"/>
        <v>0</v>
      </c>
      <c r="AT83" s="247">
        <v>2</v>
      </c>
      <c r="AU83" s="249">
        <f t="shared" si="4"/>
        <v>4531.12</v>
      </c>
      <c r="AV83" s="247">
        <f t="shared" si="5"/>
        <v>2</v>
      </c>
    </row>
    <row r="84" spans="1:49" s="62" customFormat="1" ht="26.25" customHeight="1">
      <c r="A84" s="59"/>
      <c r="B84" s="60"/>
      <c r="C84" s="60"/>
      <c r="D84" s="22"/>
      <c r="E84" s="79" t="s">
        <v>24</v>
      </c>
      <c r="F84" s="161" t="s">
        <v>61</v>
      </c>
      <c r="G84" s="222" t="s">
        <v>127</v>
      </c>
      <c r="H84" s="193" t="s">
        <v>91</v>
      </c>
      <c r="I84" s="193" t="s">
        <v>91</v>
      </c>
      <c r="J84" s="193">
        <v>48</v>
      </c>
      <c r="K84" s="193">
        <v>3</v>
      </c>
      <c r="L84" s="243">
        <v>71.97</v>
      </c>
      <c r="M84" s="242">
        <f t="shared" si="9"/>
        <v>144</v>
      </c>
      <c r="N84" s="243">
        <f t="shared" ref="N84:N87" si="10">L84*M84</f>
        <v>10363.68</v>
      </c>
      <c r="O84" s="193">
        <v>14</v>
      </c>
      <c r="P84" s="243">
        <v>714.98</v>
      </c>
      <c r="Q84" s="193"/>
      <c r="R84" s="243"/>
      <c r="S84" s="193"/>
      <c r="T84" s="243"/>
      <c r="U84" s="203" t="s">
        <v>128</v>
      </c>
      <c r="V84" s="115">
        <v>135</v>
      </c>
      <c r="W84" s="114">
        <v>42761</v>
      </c>
      <c r="X84" s="193" t="s">
        <v>126</v>
      </c>
      <c r="Y84" s="200">
        <v>43130</v>
      </c>
      <c r="Z84" s="193"/>
      <c r="AA84" s="193"/>
      <c r="AB84" s="22">
        <v>0</v>
      </c>
      <c r="AC84" s="170">
        <v>0</v>
      </c>
      <c r="AD84" s="209">
        <v>14</v>
      </c>
      <c r="AE84" s="194">
        <v>774.48</v>
      </c>
      <c r="AF84" s="209"/>
      <c r="AG84" s="194"/>
      <c r="AH84" s="209"/>
      <c r="AI84" s="194"/>
      <c r="AJ84" s="232"/>
      <c r="AK84" s="170">
        <f t="shared" si="6"/>
        <v>774.48</v>
      </c>
      <c r="AL84" s="272">
        <v>0</v>
      </c>
      <c r="AM84" s="212">
        <v>0</v>
      </c>
      <c r="AN84" s="269">
        <v>14</v>
      </c>
      <c r="AO84" s="217">
        <f t="shared" si="8"/>
        <v>774.48</v>
      </c>
      <c r="AP84" s="232"/>
      <c r="AQ84" s="229"/>
      <c r="AR84" s="212">
        <v>55.32</v>
      </c>
      <c r="AS84" s="212">
        <f t="shared" si="3"/>
        <v>0</v>
      </c>
      <c r="AT84" s="227">
        <f>14-2</f>
        <v>12</v>
      </c>
      <c r="AU84" s="228">
        <f t="shared" si="4"/>
        <v>663.84</v>
      </c>
      <c r="AV84" s="279">
        <f t="shared" si="5"/>
        <v>12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/>
      <c r="K85" s="193"/>
      <c r="L85" s="243"/>
      <c r="M85" s="242">
        <f t="shared" si="9"/>
        <v>0</v>
      </c>
      <c r="N85" s="243">
        <f t="shared" si="10"/>
        <v>0</v>
      </c>
      <c r="O85" s="193"/>
      <c r="P85" s="243"/>
      <c r="Q85" s="193"/>
      <c r="R85" s="243"/>
      <c r="S85" s="193"/>
      <c r="T85" s="243"/>
      <c r="U85" s="203" t="s">
        <v>171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26</v>
      </c>
      <c r="AE85" s="194">
        <v>1438.32</v>
      </c>
      <c r="AF85" s="209"/>
      <c r="AG85" s="194"/>
      <c r="AH85" s="209"/>
      <c r="AI85" s="194"/>
      <c r="AJ85" s="232"/>
      <c r="AK85" s="170">
        <f t="shared" si="6"/>
        <v>1438.32</v>
      </c>
      <c r="AL85" s="272">
        <v>0</v>
      </c>
      <c r="AM85" s="212">
        <v>0</v>
      </c>
      <c r="AN85" s="269">
        <v>26</v>
      </c>
      <c r="AO85" s="217">
        <f t="shared" si="8"/>
        <v>1438.32</v>
      </c>
      <c r="AP85" s="232"/>
      <c r="AQ85" s="229"/>
      <c r="AR85" s="212">
        <v>55.32</v>
      </c>
      <c r="AS85" s="212">
        <f t="shared" si="3"/>
        <v>0</v>
      </c>
      <c r="AT85" s="227">
        <v>26</v>
      </c>
      <c r="AU85" s="228">
        <f t="shared" si="4"/>
        <v>1438.32</v>
      </c>
      <c r="AV85" s="279">
        <f t="shared" si="5"/>
        <v>26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79" t="s">
        <v>62</v>
      </c>
      <c r="G86" s="222" t="s">
        <v>129</v>
      </c>
      <c r="H86" s="193" t="s">
        <v>91</v>
      </c>
      <c r="I86" s="193" t="s">
        <v>91</v>
      </c>
      <c r="J86" s="193">
        <v>24</v>
      </c>
      <c r="K86" s="193">
        <v>4</v>
      </c>
      <c r="L86" s="243">
        <v>984.1</v>
      </c>
      <c r="M86" s="242">
        <f t="shared" si="9"/>
        <v>96</v>
      </c>
      <c r="N86" s="243">
        <f t="shared" si="10"/>
        <v>94473.600000000006</v>
      </c>
      <c r="O86" s="193">
        <v>6</v>
      </c>
      <c r="P86" s="243">
        <v>4721.3999999999996</v>
      </c>
      <c r="Q86" s="193"/>
      <c r="R86" s="243"/>
      <c r="S86" s="193"/>
      <c r="T86" s="243"/>
      <c r="U86" s="203" t="s">
        <v>130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6</v>
      </c>
      <c r="AE86" s="194">
        <v>4549.08</v>
      </c>
      <c r="AF86" s="209"/>
      <c r="AG86" s="194"/>
      <c r="AH86" s="209"/>
      <c r="AI86" s="194"/>
      <c r="AJ86" s="232"/>
      <c r="AK86" s="170">
        <f t="shared" si="6"/>
        <v>4549.08</v>
      </c>
      <c r="AL86" s="272">
        <v>0</v>
      </c>
      <c r="AM86" s="212">
        <v>0</v>
      </c>
      <c r="AN86" s="269">
        <v>6</v>
      </c>
      <c r="AO86" s="217">
        <f t="shared" si="8"/>
        <v>4549.08</v>
      </c>
      <c r="AP86" s="232"/>
      <c r="AQ86" s="229"/>
      <c r="AR86" s="212">
        <v>758.18</v>
      </c>
      <c r="AS86" s="212">
        <f t="shared" si="3"/>
        <v>0</v>
      </c>
      <c r="AT86" s="227">
        <v>6</v>
      </c>
      <c r="AU86" s="228">
        <f t="shared" si="4"/>
        <v>4549.08</v>
      </c>
      <c r="AV86" s="279">
        <f t="shared" si="5"/>
        <v>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/>
      <c r="K87" s="193"/>
      <c r="L87" s="243"/>
      <c r="M87" s="242">
        <f t="shared" si="9"/>
        <v>0</v>
      </c>
      <c r="N87" s="243">
        <f t="shared" si="10"/>
        <v>0</v>
      </c>
      <c r="O87" s="193"/>
      <c r="P87" s="243"/>
      <c r="Q87" s="193"/>
      <c r="R87" s="243"/>
      <c r="S87" s="193"/>
      <c r="T87" s="243"/>
      <c r="U87" s="203" t="s">
        <v>172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10</v>
      </c>
      <c r="AE87" s="194">
        <v>7581.8</v>
      </c>
      <c r="AF87" s="209"/>
      <c r="AG87" s="194"/>
      <c r="AH87" s="209"/>
      <c r="AI87" s="194"/>
      <c r="AJ87" s="232"/>
      <c r="AK87" s="170">
        <f t="shared" si="6"/>
        <v>7581.8</v>
      </c>
      <c r="AL87" s="272">
        <v>0</v>
      </c>
      <c r="AM87" s="212">
        <v>0</v>
      </c>
      <c r="AN87" s="269">
        <v>10</v>
      </c>
      <c r="AO87" s="217">
        <f t="shared" si="8"/>
        <v>7581.8</v>
      </c>
      <c r="AP87" s="232"/>
      <c r="AQ87" s="229"/>
      <c r="AR87" s="212">
        <v>758.18</v>
      </c>
      <c r="AS87" s="212">
        <f t="shared" ref="AS87" si="11">AQ87*AR87</f>
        <v>0</v>
      </c>
      <c r="AT87" s="227">
        <v>10</v>
      </c>
      <c r="AU87" s="228">
        <f t="shared" ref="AU87" si="12">AT87*AR87</f>
        <v>7581.7999999999993</v>
      </c>
      <c r="AV87" s="279">
        <f t="shared" ref="AV87" si="13">AT87</f>
        <v>10</v>
      </c>
    </row>
    <row r="88" spans="1:49" s="62" customFormat="1" ht="26.25" customHeight="1">
      <c r="A88" s="59"/>
      <c r="B88" s="60"/>
      <c r="C88" s="60"/>
      <c r="D88" s="22"/>
      <c r="E88" s="79"/>
      <c r="F88" s="179" t="s">
        <v>62</v>
      </c>
      <c r="G88" s="222" t="s">
        <v>129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/>
      <c r="V88" s="115"/>
      <c r="W88" s="114"/>
      <c r="X88" s="193"/>
      <c r="Y88" s="200"/>
      <c r="Z88" s="193"/>
      <c r="AA88" s="193"/>
      <c r="AB88" s="22"/>
      <c r="AC88" s="170"/>
      <c r="AD88" s="209"/>
      <c r="AE88" s="194"/>
      <c r="AF88" s="209"/>
      <c r="AG88" s="194"/>
      <c r="AH88" s="209"/>
      <c r="AI88" s="194"/>
      <c r="AJ88" s="232"/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4</v>
      </c>
      <c r="AU88" s="228"/>
      <c r="AV88" s="279">
        <v>4</v>
      </c>
    </row>
    <row r="89" spans="1:49" s="251" customFormat="1" ht="21" customHeight="1">
      <c r="A89" s="20" t="s">
        <v>11</v>
      </c>
      <c r="B89" s="20"/>
      <c r="C89" s="20"/>
      <c r="D89" s="695" t="s">
        <v>34</v>
      </c>
      <c r="E89" s="696"/>
      <c r="F89" s="697"/>
      <c r="G89" s="246"/>
      <c r="H89" s="246"/>
      <c r="I89" s="246"/>
      <c r="J89" s="246"/>
      <c r="K89" s="247">
        <f>SUM(K17:K88)</f>
        <v>25</v>
      </c>
      <c r="L89" s="248"/>
      <c r="M89" s="246"/>
      <c r="N89" s="249">
        <f>SUM(N17:N88)</f>
        <v>2265445.04</v>
      </c>
      <c r="O89" s="248"/>
      <c r="P89" s="249">
        <f>SUM(P17:P88)</f>
        <v>1348643.8</v>
      </c>
      <c r="Q89" s="248"/>
      <c r="R89" s="249">
        <f>SUM(R17:R88)</f>
        <v>1035525.6</v>
      </c>
      <c r="S89" s="248"/>
      <c r="T89" s="249">
        <f>SUM(T17:T88)</f>
        <v>493933.38</v>
      </c>
      <c r="U89" s="291" t="s">
        <v>156</v>
      </c>
      <c r="V89" s="291" t="s">
        <v>156</v>
      </c>
      <c r="W89" s="291" t="s">
        <v>156</v>
      </c>
      <c r="X89" s="250" t="s">
        <v>156</v>
      </c>
      <c r="Y89" s="250" t="s">
        <v>156</v>
      </c>
      <c r="Z89" s="250" t="s">
        <v>156</v>
      </c>
      <c r="AA89" s="250" t="s">
        <v>156</v>
      </c>
      <c r="AB89" s="176">
        <f>SUM(AB17:AB35)</f>
        <v>350</v>
      </c>
      <c r="AC89" s="171">
        <f>SUM(AC17:AC63)</f>
        <v>190344.16</v>
      </c>
      <c r="AD89" s="210">
        <f t="shared" ref="AD89:AQ89" si="14">SUM(AD17:AD88)</f>
        <v>5451</v>
      </c>
      <c r="AE89" s="195">
        <f t="shared" si="14"/>
        <v>1221314.8600000001</v>
      </c>
      <c r="AF89" s="210">
        <f t="shared" si="14"/>
        <v>0</v>
      </c>
      <c r="AG89" s="195">
        <f t="shared" si="14"/>
        <v>0</v>
      </c>
      <c r="AH89" s="210">
        <f t="shared" si="14"/>
        <v>0</v>
      </c>
      <c r="AI89" s="195">
        <f t="shared" si="14"/>
        <v>0</v>
      </c>
      <c r="AJ89" s="210">
        <f t="shared" si="14"/>
        <v>3904</v>
      </c>
      <c r="AK89" s="175">
        <f t="shared" si="14"/>
        <v>1221314.8600000001</v>
      </c>
      <c r="AL89" s="213">
        <f t="shared" si="14"/>
        <v>847</v>
      </c>
      <c r="AM89" s="214">
        <f t="shared" si="14"/>
        <v>232006.65000000002</v>
      </c>
      <c r="AN89" s="218">
        <f t="shared" si="14"/>
        <v>4954</v>
      </c>
      <c r="AO89" s="219">
        <f t="shared" si="14"/>
        <v>1163059.4400000002</v>
      </c>
      <c r="AP89" s="286">
        <f t="shared" si="14"/>
        <v>0</v>
      </c>
      <c r="AQ89" s="287">
        <f t="shared" si="14"/>
        <v>0</v>
      </c>
      <c r="AR89" s="226" t="s">
        <v>156</v>
      </c>
      <c r="AS89" s="226">
        <f>SUM(AS17:AS88)</f>
        <v>0</v>
      </c>
      <c r="AT89" s="227">
        <f>SUM(AT17:AT88)</f>
        <v>7060</v>
      </c>
      <c r="AU89" s="228">
        <f>SUM(AU17:AU88)</f>
        <v>723052.49</v>
      </c>
      <c r="AV89" s="510">
        <f>SUM(AV17:AV88)</f>
        <v>7060</v>
      </c>
    </row>
    <row r="90" spans="1:49" s="336" customFormat="1" ht="21" customHeight="1">
      <c r="A90" s="20"/>
      <c r="B90" s="20"/>
      <c r="C90" s="20"/>
      <c r="D90" s="294"/>
      <c r="E90" s="294"/>
      <c r="F90" s="294"/>
      <c r="G90" s="330"/>
      <c r="H90" s="330"/>
      <c r="I90" s="330"/>
      <c r="J90" s="330"/>
      <c r="K90" s="331"/>
      <c r="L90" s="332"/>
      <c r="M90" s="330"/>
      <c r="N90" s="333"/>
      <c r="O90" s="332"/>
      <c r="P90" s="333"/>
      <c r="Q90" s="332"/>
      <c r="R90" s="333"/>
      <c r="S90" s="332"/>
      <c r="T90" s="333"/>
      <c r="U90" s="295"/>
      <c r="V90" s="295"/>
      <c r="W90" s="295"/>
      <c r="X90" s="295"/>
      <c r="Y90" s="295"/>
      <c r="Z90" s="295"/>
      <c r="AA90" s="295"/>
      <c r="AB90" s="296"/>
      <c r="AC90" s="297"/>
      <c r="AD90" s="296"/>
      <c r="AE90" s="297"/>
      <c r="AF90" s="296"/>
      <c r="AG90" s="297"/>
      <c r="AH90" s="296"/>
      <c r="AI90" s="297"/>
      <c r="AJ90" s="478"/>
      <c r="AK90" s="299"/>
      <c r="AL90" s="334"/>
      <c r="AM90" s="297"/>
      <c r="AN90" s="296"/>
      <c r="AO90" s="297"/>
      <c r="AP90" s="298"/>
      <c r="AQ90" s="335"/>
      <c r="AR90" s="333"/>
      <c r="AS90" s="333"/>
      <c r="AT90" s="331"/>
      <c r="AU90" s="333"/>
      <c r="AV90" s="331"/>
    </row>
    <row r="91" spans="1:49" s="336" customFormat="1" ht="21" hidden="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292" customFormat="1" ht="20.25" hidden="1">
      <c r="A92" s="301"/>
      <c r="B92" s="301"/>
      <c r="C92" s="301"/>
      <c r="D92" s="302"/>
      <c r="E92" s="301"/>
      <c r="F92" s="303" t="s">
        <v>205</v>
      </c>
      <c r="G92" s="303"/>
      <c r="H92" s="303" t="s">
        <v>208</v>
      </c>
      <c r="I92" s="303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3"/>
      <c r="V92" s="303"/>
      <c r="X92" s="303"/>
      <c r="Y92" s="303"/>
      <c r="Z92" s="303"/>
      <c r="AA92" s="303" t="s">
        <v>208</v>
      </c>
      <c r="AB92" s="303"/>
      <c r="AC92" s="303"/>
      <c r="AD92" s="303"/>
      <c r="AE92" s="303"/>
      <c r="AF92" s="303"/>
      <c r="AG92" s="303"/>
      <c r="AH92" s="303"/>
      <c r="AI92" s="303"/>
      <c r="AJ92" s="479"/>
      <c r="AK92" s="303"/>
      <c r="AL92" s="301"/>
      <c r="AM92" s="30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9" s="292" customFormat="1" ht="20.25" hidden="1">
      <c r="A93" s="301"/>
      <c r="B93" s="301"/>
      <c r="C93" s="301"/>
      <c r="D93" s="302"/>
      <c r="E93" s="301"/>
      <c r="F93" s="303"/>
      <c r="G93" s="303"/>
      <c r="H93" s="303"/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15" hidden="1" customHeight="1">
      <c r="A95" s="309"/>
      <c r="B95" s="309"/>
      <c r="C95" s="309"/>
      <c r="D95" s="302"/>
      <c r="E95" s="309"/>
      <c r="F95" s="310"/>
      <c r="G95" s="310"/>
      <c r="H95" s="308"/>
      <c r="I95" s="308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8"/>
      <c r="V95" s="311"/>
      <c r="AA95" s="311"/>
      <c r="AJ95" s="480"/>
      <c r="AK95" s="312"/>
      <c r="AL95" s="309"/>
      <c r="AM95" s="31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8" hidden="1" customHeight="1">
      <c r="A96" s="314" t="s">
        <v>12</v>
      </c>
      <c r="B96" s="314"/>
      <c r="C96" s="314"/>
      <c r="D96" s="315"/>
      <c r="E96" s="314"/>
      <c r="F96" s="316" t="s">
        <v>206</v>
      </c>
      <c r="G96" s="316"/>
      <c r="H96" s="736" t="s">
        <v>209</v>
      </c>
      <c r="I96" s="736"/>
      <c r="J96" s="736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8"/>
      <c r="V96" s="319"/>
      <c r="X96" s="303"/>
      <c r="Y96" s="316"/>
      <c r="Z96" s="316"/>
      <c r="AA96" s="320" t="s">
        <v>209</v>
      </c>
      <c r="AB96" s="316"/>
      <c r="AC96" s="316"/>
      <c r="AD96" s="316"/>
      <c r="AE96" s="316"/>
      <c r="AF96" s="316"/>
      <c r="AG96" s="316"/>
      <c r="AH96" s="316"/>
      <c r="AI96" s="316"/>
      <c r="AJ96" s="481"/>
      <c r="AK96" s="316"/>
      <c r="AL96" s="314"/>
      <c r="AM96" s="316"/>
      <c r="AN96" s="314"/>
      <c r="AO96" s="321"/>
      <c r="AP96" s="307"/>
      <c r="AQ96" s="302"/>
      <c r="AR96" s="308"/>
      <c r="AS96" s="308"/>
      <c r="AT96" s="302"/>
      <c r="AU96" s="302"/>
      <c r="AV96" s="302"/>
    </row>
    <row r="97" spans="1:48" s="62" customFormat="1" ht="18.75" hidden="1">
      <c r="A97" s="11"/>
      <c r="B97" s="11"/>
      <c r="C97" s="11"/>
      <c r="D97" s="255"/>
      <c r="E97" s="11"/>
      <c r="F97" s="322"/>
      <c r="G97" s="322"/>
      <c r="H97" s="322"/>
      <c r="I97" s="322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482"/>
      <c r="AK97" s="322"/>
      <c r="AL97" s="324"/>
      <c r="AM97" s="322"/>
      <c r="AN97" s="281"/>
      <c r="AO97" s="325"/>
      <c r="AP97" s="326"/>
      <c r="AQ97" s="515"/>
      <c r="AR97" s="255"/>
      <c r="AS97" s="255"/>
      <c r="AT97" s="515"/>
      <c r="AU97" s="515"/>
      <c r="AV97" s="515"/>
    </row>
    <row r="98" spans="1:48" s="103" customFormat="1" ht="57.75" hidden="1" customHeight="1">
      <c r="A98" s="11"/>
      <c r="B98" s="11"/>
      <c r="C98" s="11"/>
      <c r="D98" s="255"/>
      <c r="E98" s="720" t="s">
        <v>207</v>
      </c>
      <c r="F98" s="720"/>
      <c r="G98" s="327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9"/>
      <c r="W98" s="329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483"/>
      <c r="AK98" s="11"/>
      <c r="AL98" s="281"/>
      <c r="AM98" s="11"/>
      <c r="AN98" s="281"/>
      <c r="AP98" s="326"/>
      <c r="AQ98" s="515"/>
      <c r="AR98" s="255"/>
      <c r="AS98" s="255"/>
      <c r="AT98" s="515"/>
      <c r="AU98" s="515"/>
      <c r="AV98" s="515"/>
    </row>
  </sheetData>
  <mergeCells count="40">
    <mergeCell ref="D11:AV11"/>
    <mergeCell ref="E6:AT6"/>
    <mergeCell ref="D7:AV7"/>
    <mergeCell ref="D8:AV8"/>
    <mergeCell ref="D9:AV9"/>
    <mergeCell ref="D10:AV10"/>
    <mergeCell ref="E98:F9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89:F89"/>
    <mergeCell ref="H96:J96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8"/>
  <sheetViews>
    <sheetView view="pageBreakPreview" topLeftCell="C1" zoomScale="70" zoomScaleSheetLayoutView="70" workbookViewId="0">
      <selection activeCell="AX13" sqref="AX13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23"/>
      <c r="AR1" s="255"/>
      <c r="AS1" s="255"/>
      <c r="AT1" s="523"/>
      <c r="AU1" s="523"/>
      <c r="AV1" s="523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23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23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291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23"/>
      <c r="AR12" s="255"/>
      <c r="AS12" s="255"/>
      <c r="AT12" s="524"/>
      <c r="AU12" s="524"/>
      <c r="AV12" s="524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292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24"/>
      <c r="D16" s="748"/>
      <c r="E16" s="685"/>
      <c r="F16" s="685"/>
      <c r="G16" s="202"/>
      <c r="H16" s="201"/>
      <c r="I16" s="201"/>
      <c r="J16" s="241"/>
      <c r="K16" s="241"/>
      <c r="L16" s="241"/>
      <c r="M16" s="522" t="s">
        <v>77</v>
      </c>
      <c r="N16" s="522" t="s">
        <v>78</v>
      </c>
      <c r="O16" s="522" t="s">
        <v>77</v>
      </c>
      <c r="P16" s="522" t="s">
        <v>78</v>
      </c>
      <c r="Q16" s="522" t="s">
        <v>77</v>
      </c>
      <c r="R16" s="522" t="s">
        <v>78</v>
      </c>
      <c r="S16" s="522" t="s">
        <v>77</v>
      </c>
      <c r="T16" s="522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21" t="s">
        <v>77</v>
      </c>
      <c r="AE16" s="521" t="s">
        <v>78</v>
      </c>
      <c r="AF16" s="205" t="s">
        <v>77</v>
      </c>
      <c r="AG16" s="205" t="s">
        <v>78</v>
      </c>
      <c r="AH16" s="521" t="s">
        <v>77</v>
      </c>
      <c r="AI16" s="521" t="s">
        <v>78</v>
      </c>
      <c r="AJ16" s="207" t="s">
        <v>96</v>
      </c>
      <c r="AK16" s="96" t="s">
        <v>19</v>
      </c>
      <c r="AL16" s="519" t="s">
        <v>96</v>
      </c>
      <c r="AM16" s="519" t="s">
        <v>19</v>
      </c>
      <c r="AN16" s="216" t="s">
        <v>96</v>
      </c>
      <c r="AO16" s="216" t="s">
        <v>19</v>
      </c>
      <c r="AP16" s="207" t="s">
        <v>96</v>
      </c>
      <c r="AQ16" s="519" t="s">
        <v>96</v>
      </c>
      <c r="AR16" s="519" t="s">
        <v>107</v>
      </c>
      <c r="AS16" s="519" t="s">
        <v>19</v>
      </c>
      <c r="AT16" s="520" t="s">
        <v>96</v>
      </c>
      <c r="AU16" s="520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6" si="3">AQ18*AR18</f>
        <v>0</v>
      </c>
      <c r="AT18" s="247">
        <v>1</v>
      </c>
      <c r="AU18" s="228">
        <f t="shared" ref="AU18:AU86" si="4">AT18*AR18</f>
        <v>1026.1600000000001</v>
      </c>
      <c r="AV18" s="247">
        <f t="shared" ref="AV18:AV86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7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90-55-35</f>
        <v>0</v>
      </c>
      <c r="AU29" s="228">
        <f t="shared" si="4"/>
        <v>0</v>
      </c>
      <c r="AV29" s="279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f>15-15</f>
        <v>0</v>
      </c>
      <c r="AU30" s="228"/>
      <c r="AV30" s="279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25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527" t="s">
        <v>132</v>
      </c>
      <c r="V44" s="193">
        <v>234</v>
      </c>
      <c r="W44" s="532">
        <v>43143</v>
      </c>
      <c r="X44" s="193" t="s">
        <v>143</v>
      </c>
      <c r="Y44" s="200">
        <v>43164</v>
      </c>
      <c r="Z44" s="193"/>
      <c r="AA44" s="193"/>
      <c r="AB44" s="192">
        <v>0</v>
      </c>
      <c r="AC44" s="530">
        <v>0</v>
      </c>
      <c r="AD44" s="531">
        <v>15</v>
      </c>
      <c r="AE44" s="530">
        <v>3032.7</v>
      </c>
      <c r="AF44" s="531"/>
      <c r="AG44" s="530"/>
      <c r="AH44" s="531"/>
      <c r="AI44" s="530"/>
      <c r="AJ44" s="247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15</v>
      </c>
      <c r="AU44" s="228">
        <f t="shared" si="4"/>
        <v>3032.7000000000003</v>
      </c>
      <c r="AV44" s="247">
        <f t="shared" si="5"/>
        <v>15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124</v>
      </c>
      <c r="V48" s="115">
        <v>135</v>
      </c>
      <c r="W48" s="114">
        <v>42761</v>
      </c>
      <c r="X48" s="193" t="s">
        <v>126</v>
      </c>
      <c r="Y48" s="200">
        <v>43130</v>
      </c>
      <c r="Z48" s="193"/>
      <c r="AA48" s="193"/>
      <c r="AB48" s="22">
        <v>0</v>
      </c>
      <c r="AC48" s="170">
        <v>0</v>
      </c>
      <c r="AD48" s="209">
        <v>155</v>
      </c>
      <c r="AE48" s="194">
        <v>31337.9</v>
      </c>
      <c r="AF48" s="209"/>
      <c r="AG48" s="194"/>
      <c r="AH48" s="209"/>
      <c r="AI48" s="194"/>
      <c r="AJ48" s="232"/>
      <c r="AK48" s="170">
        <f t="shared" si="6"/>
        <v>31337.9</v>
      </c>
      <c r="AL48" s="272">
        <v>0</v>
      </c>
      <c r="AM48" s="212">
        <v>0</v>
      </c>
      <c r="AN48" s="269">
        <v>155</v>
      </c>
      <c r="AO48" s="217">
        <f t="shared" si="2"/>
        <v>31337.9</v>
      </c>
      <c r="AP48" s="232"/>
      <c r="AQ48" s="229"/>
      <c r="AR48" s="212">
        <v>202.18</v>
      </c>
      <c r="AS48" s="212">
        <f t="shared" si="3"/>
        <v>0</v>
      </c>
      <c r="AT48" s="227">
        <f>155-155</f>
        <v>0</v>
      </c>
      <c r="AU48" s="228">
        <f t="shared" si="4"/>
        <v>0</v>
      </c>
      <c r="AV48" s="279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340</v>
      </c>
      <c r="AU49" s="249">
        <f t="shared" si="4"/>
        <v>68741.2</v>
      </c>
      <c r="AV49" s="247">
        <f t="shared" si="5"/>
        <v>340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1006</v>
      </c>
      <c r="W52" s="114">
        <v>43244</v>
      </c>
      <c r="X52" s="193" t="s">
        <v>179</v>
      </c>
      <c r="Y52" s="200">
        <v>43285</v>
      </c>
      <c r="Z52" s="193"/>
      <c r="AA52" s="193"/>
      <c r="AB52" s="22">
        <v>0</v>
      </c>
      <c r="AC52" s="170">
        <v>0</v>
      </c>
      <c r="AD52" s="209">
        <v>45</v>
      </c>
      <c r="AE52" s="194">
        <v>8820</v>
      </c>
      <c r="AF52" s="209"/>
      <c r="AG52" s="194"/>
      <c r="AH52" s="209"/>
      <c r="AI52" s="194"/>
      <c r="AJ52" s="232"/>
      <c r="AK52" s="170">
        <f t="shared" si="6"/>
        <v>8820</v>
      </c>
      <c r="AL52" s="272">
        <v>0</v>
      </c>
      <c r="AM52" s="212">
        <v>0</v>
      </c>
      <c r="AN52" s="269">
        <v>45</v>
      </c>
      <c r="AO52" s="217">
        <f t="shared" si="2"/>
        <v>8820</v>
      </c>
      <c r="AP52" s="232"/>
      <c r="AQ52" s="229"/>
      <c r="AR52" s="212">
        <v>196</v>
      </c>
      <c r="AS52" s="212">
        <f t="shared" si="3"/>
        <v>0</v>
      </c>
      <c r="AT52" s="227">
        <f>45-45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175</v>
      </c>
      <c r="V53" s="115">
        <v>1006</v>
      </c>
      <c r="W53" s="114">
        <v>43244</v>
      </c>
      <c r="X53" s="193" t="s">
        <v>179</v>
      </c>
      <c r="Y53" s="200">
        <v>43285</v>
      </c>
      <c r="Z53" s="193"/>
      <c r="AA53" s="193"/>
      <c r="AB53" s="22">
        <v>0</v>
      </c>
      <c r="AC53" s="170">
        <v>0</v>
      </c>
      <c r="AD53" s="209">
        <v>55</v>
      </c>
      <c r="AE53" s="194">
        <v>11119.9</v>
      </c>
      <c r="AF53" s="209"/>
      <c r="AG53" s="194"/>
      <c r="AH53" s="209"/>
      <c r="AI53" s="194"/>
      <c r="AJ53" s="232"/>
      <c r="AK53" s="170">
        <f t="shared" si="6"/>
        <v>11119.9</v>
      </c>
      <c r="AL53" s="272">
        <v>0</v>
      </c>
      <c r="AM53" s="212">
        <v>0</v>
      </c>
      <c r="AN53" s="269">
        <v>55</v>
      </c>
      <c r="AO53" s="217">
        <f t="shared" si="2"/>
        <v>11119.9</v>
      </c>
      <c r="AP53" s="232"/>
      <c r="AQ53" s="229"/>
      <c r="AR53" s="212">
        <v>202.18</v>
      </c>
      <c r="AS53" s="212">
        <f t="shared" si="3"/>
        <v>0</v>
      </c>
      <c r="AT53" s="227">
        <f>55-55</f>
        <v>0</v>
      </c>
      <c r="AU53" s="228">
        <f t="shared" si="4"/>
        <v>0</v>
      </c>
      <c r="AV53" s="279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262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234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234</v>
      </c>
      <c r="AU69" s="386"/>
      <c r="AV69" s="279">
        <f t="shared" si="5"/>
        <v>234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263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14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14</v>
      </c>
      <c r="AU70" s="386"/>
      <c r="AV70" s="279">
        <f t="shared" si="5"/>
        <v>14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36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36</v>
      </c>
      <c r="AU71" s="386"/>
      <c r="AV71" s="279">
        <f t="shared" si="5"/>
        <v>36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31.5">
      <c r="A78" s="59"/>
      <c r="B78" s="60"/>
      <c r="C78" s="60"/>
      <c r="D78" s="22"/>
      <c r="E78" s="79"/>
      <c r="F78" s="150" t="s">
        <v>57</v>
      </c>
      <c r="G78" s="222" t="s">
        <v>121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266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766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f>766-240</f>
        <v>526</v>
      </c>
      <c r="AU78" s="228"/>
      <c r="AV78" s="279">
        <f t="shared" si="5"/>
        <v>526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450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450</v>
      </c>
      <c r="AU79" s="228"/>
      <c r="AV79" s="279">
        <f t="shared" si="5"/>
        <v>450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279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610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610</v>
      </c>
      <c r="AU80" s="228"/>
      <c r="AV80" s="279">
        <f t="shared" si="5"/>
        <v>610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284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723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723</v>
      </c>
      <c r="AU81" s="228"/>
      <c r="AV81" s="279">
        <f t="shared" si="5"/>
        <v>723</v>
      </c>
    </row>
    <row r="82" spans="1:49" s="62" customFormat="1" ht="26.25" customHeight="1">
      <c r="A82" s="59"/>
      <c r="B82" s="60"/>
      <c r="C82" s="137"/>
      <c r="D82" s="192"/>
      <c r="E82" s="79" t="s">
        <v>24</v>
      </c>
      <c r="F82" s="525" t="s">
        <v>58</v>
      </c>
      <c r="G82" s="222" t="s">
        <v>123</v>
      </c>
      <c r="H82" s="193" t="s">
        <v>91</v>
      </c>
      <c r="I82" s="193" t="s">
        <v>91</v>
      </c>
      <c r="J82" s="193">
        <v>5</v>
      </c>
      <c r="K82" s="193">
        <v>5</v>
      </c>
      <c r="L82" s="243">
        <v>2899.28</v>
      </c>
      <c r="M82" s="242">
        <f>J82*K82</f>
        <v>25</v>
      </c>
      <c r="N82" s="243">
        <f t="shared" si="1"/>
        <v>72482</v>
      </c>
      <c r="O82" s="193">
        <v>4</v>
      </c>
      <c r="P82" s="243">
        <v>8377.6</v>
      </c>
      <c r="Q82" s="193"/>
      <c r="R82" s="243"/>
      <c r="S82" s="193"/>
      <c r="T82" s="243"/>
      <c r="U82" s="527" t="s">
        <v>122</v>
      </c>
      <c r="V82" s="193">
        <v>1745</v>
      </c>
      <c r="W82" s="532">
        <v>43096</v>
      </c>
      <c r="X82" s="193" t="s">
        <v>117</v>
      </c>
      <c r="Y82" s="200">
        <v>43109</v>
      </c>
      <c r="Z82" s="193" t="s">
        <v>118</v>
      </c>
      <c r="AA82" s="200">
        <v>43133</v>
      </c>
      <c r="AB82" s="192">
        <v>0</v>
      </c>
      <c r="AC82" s="530">
        <v>0</v>
      </c>
      <c r="AD82" s="531">
        <v>4</v>
      </c>
      <c r="AE82" s="530">
        <v>9062.24</v>
      </c>
      <c r="AF82" s="531"/>
      <c r="AG82" s="530"/>
      <c r="AH82" s="531"/>
      <c r="AI82" s="530"/>
      <c r="AJ82" s="247"/>
      <c r="AK82" s="170">
        <f t="shared" si="6"/>
        <v>9062.24</v>
      </c>
      <c r="AL82" s="272">
        <v>0</v>
      </c>
      <c r="AM82" s="212">
        <v>0</v>
      </c>
      <c r="AN82" s="269">
        <v>4</v>
      </c>
      <c r="AO82" s="217">
        <f t="shared" ref="AO82:AO87" si="8">AC82+AK82-AM82</f>
        <v>9062.24</v>
      </c>
      <c r="AP82" s="232"/>
      <c r="AQ82" s="229"/>
      <c r="AR82" s="212">
        <v>2265.56</v>
      </c>
      <c r="AS82" s="212">
        <f t="shared" si="3"/>
        <v>0</v>
      </c>
      <c r="AT82" s="247">
        <v>4</v>
      </c>
      <c r="AU82" s="249">
        <f t="shared" si="4"/>
        <v>9062.24</v>
      </c>
      <c r="AV82" s="247">
        <f t="shared" si="5"/>
        <v>4</v>
      </c>
      <c r="AW82" s="533" t="s">
        <v>286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/>
      <c r="K83" s="193"/>
      <c r="L83" s="243"/>
      <c r="M83" s="242">
        <f t="shared" ref="M83:M87" si="9">J83*K83</f>
        <v>0</v>
      </c>
      <c r="N83" s="243">
        <f>L83*M83</f>
        <v>0</v>
      </c>
      <c r="O83" s="193"/>
      <c r="P83" s="243"/>
      <c r="Q83" s="193"/>
      <c r="R83" s="243"/>
      <c r="S83" s="193"/>
      <c r="T83" s="243"/>
      <c r="U83" s="527" t="s">
        <v>170</v>
      </c>
      <c r="V83" s="193">
        <v>834</v>
      </c>
      <c r="W83" s="532">
        <v>43222</v>
      </c>
      <c r="X83" s="193" t="s">
        <v>162</v>
      </c>
      <c r="Y83" s="200">
        <v>43242</v>
      </c>
      <c r="Z83" s="193"/>
      <c r="AA83" s="193"/>
      <c r="AB83" s="192">
        <v>0</v>
      </c>
      <c r="AC83" s="530">
        <v>0</v>
      </c>
      <c r="AD83" s="531">
        <v>2</v>
      </c>
      <c r="AE83" s="530">
        <v>4531.12</v>
      </c>
      <c r="AF83" s="531"/>
      <c r="AG83" s="530"/>
      <c r="AH83" s="531"/>
      <c r="AI83" s="530"/>
      <c r="AJ83" s="247"/>
      <c r="AK83" s="170">
        <f t="shared" si="6"/>
        <v>4531.12</v>
      </c>
      <c r="AL83" s="272">
        <v>0</v>
      </c>
      <c r="AM83" s="212">
        <v>0</v>
      </c>
      <c r="AN83" s="269">
        <v>2</v>
      </c>
      <c r="AO83" s="217">
        <f t="shared" si="8"/>
        <v>4531.12</v>
      </c>
      <c r="AP83" s="232"/>
      <c r="AQ83" s="229"/>
      <c r="AR83" s="212">
        <v>2265.56</v>
      </c>
      <c r="AS83" s="212">
        <f t="shared" si="3"/>
        <v>0</v>
      </c>
      <c r="AT83" s="247">
        <v>2</v>
      </c>
      <c r="AU83" s="249">
        <f t="shared" si="4"/>
        <v>4531.12</v>
      </c>
      <c r="AV83" s="247">
        <f t="shared" si="5"/>
        <v>2</v>
      </c>
    </row>
    <row r="84" spans="1:49" s="62" customFormat="1" ht="26.25" customHeight="1">
      <c r="A84" s="59"/>
      <c r="B84" s="60"/>
      <c r="C84" s="60"/>
      <c r="D84" s="22"/>
      <c r="E84" s="79" t="s">
        <v>24</v>
      </c>
      <c r="F84" s="161" t="s">
        <v>61</v>
      </c>
      <c r="G84" s="222" t="s">
        <v>127</v>
      </c>
      <c r="H84" s="193" t="s">
        <v>91</v>
      </c>
      <c r="I84" s="193" t="s">
        <v>91</v>
      </c>
      <c r="J84" s="193">
        <v>48</v>
      </c>
      <c r="K84" s="193">
        <v>3</v>
      </c>
      <c r="L84" s="243">
        <v>71.97</v>
      </c>
      <c r="M84" s="242">
        <f t="shared" si="9"/>
        <v>144</v>
      </c>
      <c r="N84" s="243">
        <f t="shared" ref="N84:N87" si="10">L84*M84</f>
        <v>10363.68</v>
      </c>
      <c r="O84" s="193">
        <v>14</v>
      </c>
      <c r="P84" s="243">
        <v>714.98</v>
      </c>
      <c r="Q84" s="193"/>
      <c r="R84" s="243"/>
      <c r="S84" s="193"/>
      <c r="T84" s="243"/>
      <c r="U84" s="203" t="s">
        <v>128</v>
      </c>
      <c r="V84" s="115">
        <v>135</v>
      </c>
      <c r="W84" s="114">
        <v>42761</v>
      </c>
      <c r="X84" s="193" t="s">
        <v>126</v>
      </c>
      <c r="Y84" s="200">
        <v>43130</v>
      </c>
      <c r="Z84" s="193"/>
      <c r="AA84" s="193"/>
      <c r="AB84" s="22">
        <v>0</v>
      </c>
      <c r="AC84" s="170">
        <v>0</v>
      </c>
      <c r="AD84" s="209">
        <v>14</v>
      </c>
      <c r="AE84" s="194">
        <v>774.48</v>
      </c>
      <c r="AF84" s="209"/>
      <c r="AG84" s="194"/>
      <c r="AH84" s="209"/>
      <c r="AI84" s="194"/>
      <c r="AJ84" s="232"/>
      <c r="AK84" s="170">
        <f t="shared" si="6"/>
        <v>774.48</v>
      </c>
      <c r="AL84" s="272">
        <v>0</v>
      </c>
      <c r="AM84" s="212">
        <v>0</v>
      </c>
      <c r="AN84" s="269">
        <v>14</v>
      </c>
      <c r="AO84" s="217">
        <f t="shared" si="8"/>
        <v>774.48</v>
      </c>
      <c r="AP84" s="232"/>
      <c r="AQ84" s="229"/>
      <c r="AR84" s="212">
        <v>55.32</v>
      </c>
      <c r="AS84" s="212">
        <f t="shared" si="3"/>
        <v>0</v>
      </c>
      <c r="AT84" s="227">
        <f>14-2</f>
        <v>12</v>
      </c>
      <c r="AU84" s="228">
        <f t="shared" si="4"/>
        <v>663.84</v>
      </c>
      <c r="AV84" s="279">
        <f t="shared" si="5"/>
        <v>12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/>
      <c r="K85" s="193"/>
      <c r="L85" s="243"/>
      <c r="M85" s="242">
        <f t="shared" si="9"/>
        <v>0</v>
      </c>
      <c r="N85" s="243">
        <f t="shared" si="10"/>
        <v>0</v>
      </c>
      <c r="O85" s="193"/>
      <c r="P85" s="243"/>
      <c r="Q85" s="193"/>
      <c r="R85" s="243"/>
      <c r="S85" s="193"/>
      <c r="T85" s="243"/>
      <c r="U85" s="203" t="s">
        <v>171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26</v>
      </c>
      <c r="AE85" s="194">
        <v>1438.32</v>
      </c>
      <c r="AF85" s="209"/>
      <c r="AG85" s="194"/>
      <c r="AH85" s="209"/>
      <c r="AI85" s="194"/>
      <c r="AJ85" s="232"/>
      <c r="AK85" s="170">
        <f t="shared" si="6"/>
        <v>1438.32</v>
      </c>
      <c r="AL85" s="272">
        <v>0</v>
      </c>
      <c r="AM85" s="212">
        <v>0</v>
      </c>
      <c r="AN85" s="269">
        <v>26</v>
      </c>
      <c r="AO85" s="217">
        <f t="shared" si="8"/>
        <v>1438.32</v>
      </c>
      <c r="AP85" s="232"/>
      <c r="AQ85" s="229"/>
      <c r="AR85" s="212">
        <v>55.32</v>
      </c>
      <c r="AS85" s="212">
        <f t="shared" si="3"/>
        <v>0</v>
      </c>
      <c r="AT85" s="227">
        <v>26</v>
      </c>
      <c r="AU85" s="228">
        <f t="shared" si="4"/>
        <v>1438.32</v>
      </c>
      <c r="AV85" s="279">
        <f t="shared" si="5"/>
        <v>26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79" t="s">
        <v>62</v>
      </c>
      <c r="G86" s="222" t="s">
        <v>129</v>
      </c>
      <c r="H86" s="193" t="s">
        <v>91</v>
      </c>
      <c r="I86" s="193" t="s">
        <v>91</v>
      </c>
      <c r="J86" s="193">
        <v>24</v>
      </c>
      <c r="K86" s="193">
        <v>4</v>
      </c>
      <c r="L86" s="243">
        <v>984.1</v>
      </c>
      <c r="M86" s="242">
        <f t="shared" si="9"/>
        <v>96</v>
      </c>
      <c r="N86" s="243">
        <f t="shared" si="10"/>
        <v>94473.600000000006</v>
      </c>
      <c r="O86" s="193">
        <v>6</v>
      </c>
      <c r="P86" s="243">
        <v>4721.3999999999996</v>
      </c>
      <c r="Q86" s="193"/>
      <c r="R86" s="243"/>
      <c r="S86" s="193"/>
      <c r="T86" s="243"/>
      <c r="U86" s="203" t="s">
        <v>130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6</v>
      </c>
      <c r="AE86" s="194">
        <v>4549.08</v>
      </c>
      <c r="AF86" s="209"/>
      <c r="AG86" s="194"/>
      <c r="AH86" s="209"/>
      <c r="AI86" s="194"/>
      <c r="AJ86" s="232"/>
      <c r="AK86" s="170">
        <f t="shared" si="6"/>
        <v>4549.08</v>
      </c>
      <c r="AL86" s="272">
        <v>0</v>
      </c>
      <c r="AM86" s="212">
        <v>0</v>
      </c>
      <c r="AN86" s="269">
        <v>6</v>
      </c>
      <c r="AO86" s="217">
        <f t="shared" si="8"/>
        <v>4549.08</v>
      </c>
      <c r="AP86" s="232"/>
      <c r="AQ86" s="229"/>
      <c r="AR86" s="212">
        <v>758.18</v>
      </c>
      <c r="AS86" s="212">
        <f t="shared" si="3"/>
        <v>0</v>
      </c>
      <c r="AT86" s="227">
        <v>6</v>
      </c>
      <c r="AU86" s="228">
        <f t="shared" si="4"/>
        <v>4549.08</v>
      </c>
      <c r="AV86" s="279">
        <f t="shared" si="5"/>
        <v>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/>
      <c r="K87" s="193"/>
      <c r="L87" s="243"/>
      <c r="M87" s="242">
        <f t="shared" si="9"/>
        <v>0</v>
      </c>
      <c r="N87" s="243">
        <f t="shared" si="10"/>
        <v>0</v>
      </c>
      <c r="O87" s="193"/>
      <c r="P87" s="243"/>
      <c r="Q87" s="193"/>
      <c r="R87" s="243"/>
      <c r="S87" s="193"/>
      <c r="T87" s="243"/>
      <c r="U87" s="203" t="s">
        <v>172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10</v>
      </c>
      <c r="AE87" s="194">
        <v>7581.8</v>
      </c>
      <c r="AF87" s="209"/>
      <c r="AG87" s="194"/>
      <c r="AH87" s="209"/>
      <c r="AI87" s="194"/>
      <c r="AJ87" s="232"/>
      <c r="AK87" s="170">
        <f t="shared" si="6"/>
        <v>7581.8</v>
      </c>
      <c r="AL87" s="272">
        <v>0</v>
      </c>
      <c r="AM87" s="212">
        <v>0</v>
      </c>
      <c r="AN87" s="269">
        <v>10</v>
      </c>
      <c r="AO87" s="217">
        <f t="shared" si="8"/>
        <v>7581.8</v>
      </c>
      <c r="AP87" s="232"/>
      <c r="AQ87" s="229"/>
      <c r="AR87" s="212">
        <v>758.18</v>
      </c>
      <c r="AS87" s="212">
        <f t="shared" ref="AS87" si="11">AQ87*AR87</f>
        <v>0</v>
      </c>
      <c r="AT87" s="227">
        <v>10</v>
      </c>
      <c r="AU87" s="228">
        <f t="shared" ref="AU87" si="12">AT87*AR87</f>
        <v>7581.7999999999993</v>
      </c>
      <c r="AV87" s="279">
        <f t="shared" ref="AV87" si="13">AT87</f>
        <v>10</v>
      </c>
    </row>
    <row r="88" spans="1:49" s="62" customFormat="1" ht="26.25" customHeight="1">
      <c r="A88" s="59"/>
      <c r="B88" s="60"/>
      <c r="C88" s="60"/>
      <c r="D88" s="22"/>
      <c r="E88" s="79"/>
      <c r="F88" s="179" t="s">
        <v>62</v>
      </c>
      <c r="G88" s="222" t="s">
        <v>129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/>
      <c r="V88" s="115"/>
      <c r="W88" s="114"/>
      <c r="X88" s="193"/>
      <c r="Y88" s="200"/>
      <c r="Z88" s="193"/>
      <c r="AA88" s="193"/>
      <c r="AB88" s="22"/>
      <c r="AC88" s="170"/>
      <c r="AD88" s="209"/>
      <c r="AE88" s="194"/>
      <c r="AF88" s="209"/>
      <c r="AG88" s="194"/>
      <c r="AH88" s="209"/>
      <c r="AI88" s="194"/>
      <c r="AJ88" s="232"/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4</v>
      </c>
      <c r="AU88" s="228"/>
      <c r="AV88" s="279">
        <v>4</v>
      </c>
    </row>
    <row r="89" spans="1:49" s="251" customFormat="1" ht="21" customHeight="1">
      <c r="A89" s="20" t="s">
        <v>11</v>
      </c>
      <c r="B89" s="20"/>
      <c r="C89" s="20"/>
      <c r="D89" s="695" t="s">
        <v>34</v>
      </c>
      <c r="E89" s="696"/>
      <c r="F89" s="697"/>
      <c r="G89" s="246"/>
      <c r="H89" s="246"/>
      <c r="I89" s="246"/>
      <c r="J89" s="246"/>
      <c r="K89" s="247">
        <f>SUM(K17:K88)</f>
        <v>25</v>
      </c>
      <c r="L89" s="248"/>
      <c r="M89" s="246"/>
      <c r="N89" s="249">
        <f>SUM(N17:N88)</f>
        <v>2265445.04</v>
      </c>
      <c r="O89" s="248"/>
      <c r="P89" s="249">
        <f>SUM(P17:P88)</f>
        <v>1348643.8</v>
      </c>
      <c r="Q89" s="248"/>
      <c r="R89" s="249">
        <f>SUM(R17:R88)</f>
        <v>1035525.6</v>
      </c>
      <c r="S89" s="248"/>
      <c r="T89" s="249">
        <f>SUM(T17:T88)</f>
        <v>493933.38</v>
      </c>
      <c r="U89" s="291" t="s">
        <v>156</v>
      </c>
      <c r="V89" s="291" t="s">
        <v>156</v>
      </c>
      <c r="W89" s="291" t="s">
        <v>156</v>
      </c>
      <c r="X89" s="250" t="s">
        <v>156</v>
      </c>
      <c r="Y89" s="250" t="s">
        <v>156</v>
      </c>
      <c r="Z89" s="250" t="s">
        <v>156</v>
      </c>
      <c r="AA89" s="250" t="s">
        <v>156</v>
      </c>
      <c r="AB89" s="176">
        <f>SUM(AB17:AB35)</f>
        <v>350</v>
      </c>
      <c r="AC89" s="171">
        <f>SUM(AC17:AC63)</f>
        <v>190344.16</v>
      </c>
      <c r="AD89" s="210">
        <f t="shared" ref="AD89:AQ89" si="14">SUM(AD17:AD88)</f>
        <v>5451</v>
      </c>
      <c r="AE89" s="195">
        <f t="shared" si="14"/>
        <v>1221314.8600000001</v>
      </c>
      <c r="AF89" s="210">
        <f t="shared" si="14"/>
        <v>0</v>
      </c>
      <c r="AG89" s="195">
        <f t="shared" si="14"/>
        <v>0</v>
      </c>
      <c r="AH89" s="210">
        <f t="shared" si="14"/>
        <v>0</v>
      </c>
      <c r="AI89" s="195">
        <f t="shared" si="14"/>
        <v>0</v>
      </c>
      <c r="AJ89" s="210">
        <f t="shared" si="14"/>
        <v>3904</v>
      </c>
      <c r="AK89" s="175">
        <f t="shared" si="14"/>
        <v>1221314.8600000001</v>
      </c>
      <c r="AL89" s="213">
        <f t="shared" si="14"/>
        <v>847</v>
      </c>
      <c r="AM89" s="214">
        <f t="shared" si="14"/>
        <v>232006.65000000002</v>
      </c>
      <c r="AN89" s="218">
        <f t="shared" si="14"/>
        <v>4954</v>
      </c>
      <c r="AO89" s="219">
        <f t="shared" si="14"/>
        <v>1163059.4400000002</v>
      </c>
      <c r="AP89" s="286">
        <f t="shared" si="14"/>
        <v>0</v>
      </c>
      <c r="AQ89" s="287">
        <f t="shared" si="14"/>
        <v>0</v>
      </c>
      <c r="AR89" s="226" t="s">
        <v>156</v>
      </c>
      <c r="AS89" s="226">
        <f>SUM(AS17:AS88)</f>
        <v>0</v>
      </c>
      <c r="AT89" s="227">
        <f>SUM(AT17:AT88)</f>
        <v>7060</v>
      </c>
      <c r="AU89" s="228">
        <f>SUM(AU17:AU88)</f>
        <v>723052.49</v>
      </c>
      <c r="AV89" s="510">
        <f>SUM(AV17:AV88)</f>
        <v>7060</v>
      </c>
    </row>
    <row r="90" spans="1:49" s="336" customFormat="1" ht="21" customHeight="1">
      <c r="A90" s="20"/>
      <c r="B90" s="20"/>
      <c r="C90" s="20"/>
      <c r="D90" s="294"/>
      <c r="E90" s="294"/>
      <c r="F90" s="294"/>
      <c r="G90" s="330"/>
      <c r="H90" s="330"/>
      <c r="I90" s="330"/>
      <c r="J90" s="330"/>
      <c r="K90" s="331"/>
      <c r="L90" s="332"/>
      <c r="M90" s="330"/>
      <c r="N90" s="333"/>
      <c r="O90" s="332"/>
      <c r="P90" s="333"/>
      <c r="Q90" s="332"/>
      <c r="R90" s="333"/>
      <c r="S90" s="332"/>
      <c r="T90" s="333"/>
      <c r="U90" s="295"/>
      <c r="V90" s="295"/>
      <c r="W90" s="295"/>
      <c r="X90" s="295"/>
      <c r="Y90" s="295"/>
      <c r="Z90" s="295"/>
      <c r="AA90" s="295"/>
      <c r="AB90" s="296"/>
      <c r="AC90" s="297"/>
      <c r="AD90" s="296"/>
      <c r="AE90" s="297"/>
      <c r="AF90" s="296"/>
      <c r="AG90" s="297"/>
      <c r="AH90" s="296"/>
      <c r="AI90" s="297"/>
      <c r="AJ90" s="478"/>
      <c r="AK90" s="299"/>
      <c r="AL90" s="334"/>
      <c r="AM90" s="297"/>
      <c r="AN90" s="296"/>
      <c r="AO90" s="297"/>
      <c r="AP90" s="298"/>
      <c r="AQ90" s="335"/>
      <c r="AR90" s="333"/>
      <c r="AS90" s="333"/>
      <c r="AT90" s="331"/>
      <c r="AU90" s="333"/>
      <c r="AV90" s="331"/>
    </row>
    <row r="91" spans="1:49" s="336" customFormat="1" ht="21" hidden="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292" customFormat="1" ht="20.25" hidden="1">
      <c r="A92" s="301"/>
      <c r="B92" s="301"/>
      <c r="C92" s="301"/>
      <c r="D92" s="302"/>
      <c r="E92" s="301"/>
      <c r="F92" s="303" t="s">
        <v>205</v>
      </c>
      <c r="G92" s="303"/>
      <c r="H92" s="303" t="s">
        <v>208</v>
      </c>
      <c r="I92" s="303"/>
      <c r="J92" s="304"/>
      <c r="K92" s="304"/>
      <c r="L92" s="304"/>
      <c r="M92" s="304"/>
      <c r="N92" s="304"/>
      <c r="O92" s="304"/>
      <c r="P92" s="304"/>
      <c r="Q92" s="304"/>
      <c r="R92" s="304"/>
      <c r="S92" s="304"/>
      <c r="T92" s="304"/>
      <c r="U92" s="303"/>
      <c r="V92" s="303"/>
      <c r="X92" s="303"/>
      <c r="Y92" s="303"/>
      <c r="Z92" s="303"/>
      <c r="AA92" s="303" t="s">
        <v>208</v>
      </c>
      <c r="AB92" s="303"/>
      <c r="AC92" s="303"/>
      <c r="AD92" s="303"/>
      <c r="AE92" s="303"/>
      <c r="AF92" s="303"/>
      <c r="AG92" s="303"/>
      <c r="AH92" s="303"/>
      <c r="AI92" s="303"/>
      <c r="AJ92" s="479"/>
      <c r="AK92" s="303"/>
      <c r="AL92" s="301"/>
      <c r="AM92" s="303"/>
      <c r="AN92" s="305"/>
      <c r="AO92" s="306"/>
      <c r="AP92" s="307"/>
      <c r="AQ92" s="302"/>
      <c r="AR92" s="308"/>
      <c r="AS92" s="308"/>
      <c r="AT92" s="302"/>
      <c r="AU92" s="302"/>
      <c r="AV92" s="302"/>
    </row>
    <row r="93" spans="1:49" s="292" customFormat="1" ht="20.25" hidden="1">
      <c r="A93" s="301"/>
      <c r="B93" s="301"/>
      <c r="C93" s="301"/>
      <c r="D93" s="302"/>
      <c r="E93" s="301"/>
      <c r="F93" s="303"/>
      <c r="G93" s="303"/>
      <c r="H93" s="303"/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/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15" hidden="1" customHeight="1">
      <c r="A95" s="309"/>
      <c r="B95" s="309"/>
      <c r="C95" s="309"/>
      <c r="D95" s="302"/>
      <c r="E95" s="309"/>
      <c r="F95" s="310"/>
      <c r="G95" s="310"/>
      <c r="H95" s="308"/>
      <c r="I95" s="308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8"/>
      <c r="V95" s="311"/>
      <c r="AA95" s="311"/>
      <c r="AJ95" s="480"/>
      <c r="AK95" s="312"/>
      <c r="AL95" s="309"/>
      <c r="AM95" s="31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8" hidden="1" customHeight="1">
      <c r="A96" s="314" t="s">
        <v>12</v>
      </c>
      <c r="B96" s="314"/>
      <c r="C96" s="314"/>
      <c r="D96" s="315"/>
      <c r="E96" s="314"/>
      <c r="F96" s="316" t="s">
        <v>206</v>
      </c>
      <c r="G96" s="316"/>
      <c r="H96" s="736" t="s">
        <v>209</v>
      </c>
      <c r="I96" s="736"/>
      <c r="J96" s="736"/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8"/>
      <c r="V96" s="319"/>
      <c r="X96" s="303"/>
      <c r="Y96" s="316"/>
      <c r="Z96" s="316"/>
      <c r="AA96" s="320" t="s">
        <v>209</v>
      </c>
      <c r="AB96" s="316"/>
      <c r="AC96" s="316"/>
      <c r="AD96" s="316"/>
      <c r="AE96" s="316"/>
      <c r="AF96" s="316"/>
      <c r="AG96" s="316"/>
      <c r="AH96" s="316"/>
      <c r="AI96" s="316"/>
      <c r="AJ96" s="481"/>
      <c r="AK96" s="316"/>
      <c r="AL96" s="314"/>
      <c r="AM96" s="316"/>
      <c r="AN96" s="314"/>
      <c r="AO96" s="321"/>
      <c r="AP96" s="307"/>
      <c r="AQ96" s="302"/>
      <c r="AR96" s="308"/>
      <c r="AS96" s="308"/>
      <c r="AT96" s="302"/>
      <c r="AU96" s="302"/>
      <c r="AV96" s="302"/>
    </row>
    <row r="97" spans="1:48" s="62" customFormat="1" ht="18.75" hidden="1">
      <c r="A97" s="11"/>
      <c r="B97" s="11"/>
      <c r="C97" s="11"/>
      <c r="D97" s="255"/>
      <c r="E97" s="11"/>
      <c r="F97" s="322"/>
      <c r="G97" s="322"/>
      <c r="H97" s="322"/>
      <c r="I97" s="322"/>
      <c r="J97" s="323"/>
      <c r="K97" s="323"/>
      <c r="L97" s="323"/>
      <c r="M97" s="323"/>
      <c r="N97" s="323"/>
      <c r="O97" s="323"/>
      <c r="P97" s="323"/>
      <c r="Q97" s="323"/>
      <c r="R97" s="323"/>
      <c r="S97" s="323"/>
      <c r="T97" s="323"/>
      <c r="U97" s="322"/>
      <c r="V97" s="322"/>
      <c r="W97" s="322"/>
      <c r="X97" s="322"/>
      <c r="Y97" s="322"/>
      <c r="Z97" s="322"/>
      <c r="AA97" s="322"/>
      <c r="AB97" s="322"/>
      <c r="AC97" s="322"/>
      <c r="AD97" s="322"/>
      <c r="AE97" s="322"/>
      <c r="AF97" s="322"/>
      <c r="AG97" s="322"/>
      <c r="AH97" s="322"/>
      <c r="AI97" s="322"/>
      <c r="AJ97" s="482"/>
      <c r="AK97" s="322"/>
      <c r="AL97" s="324"/>
      <c r="AM97" s="322"/>
      <c r="AN97" s="281"/>
      <c r="AO97" s="325"/>
      <c r="AP97" s="326"/>
      <c r="AQ97" s="523"/>
      <c r="AR97" s="255"/>
      <c r="AS97" s="255"/>
      <c r="AT97" s="523"/>
      <c r="AU97" s="523"/>
      <c r="AV97" s="523"/>
    </row>
    <row r="98" spans="1:48" s="103" customFormat="1" ht="57.75" hidden="1" customHeight="1">
      <c r="A98" s="11"/>
      <c r="B98" s="11"/>
      <c r="C98" s="11"/>
      <c r="D98" s="255"/>
      <c r="E98" s="720" t="s">
        <v>207</v>
      </c>
      <c r="F98" s="720"/>
      <c r="G98" s="327"/>
      <c r="H98" s="328"/>
      <c r="I98" s="328"/>
      <c r="J98" s="328"/>
      <c r="K98" s="328"/>
      <c r="L98" s="328"/>
      <c r="M98" s="328"/>
      <c r="N98" s="328"/>
      <c r="O98" s="328"/>
      <c r="P98" s="328"/>
      <c r="Q98" s="328"/>
      <c r="R98" s="328"/>
      <c r="S98" s="328"/>
      <c r="T98" s="328"/>
      <c r="U98" s="328"/>
      <c r="V98" s="329"/>
      <c r="W98" s="329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483"/>
      <c r="AK98" s="11"/>
      <c r="AL98" s="281"/>
      <c r="AM98" s="11"/>
      <c r="AN98" s="281"/>
      <c r="AP98" s="326"/>
      <c r="AQ98" s="523"/>
      <c r="AR98" s="255"/>
      <c r="AS98" s="255"/>
      <c r="AT98" s="523"/>
      <c r="AU98" s="523"/>
      <c r="AV98" s="523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89:F89"/>
    <mergeCell ref="H96:J96"/>
    <mergeCell ref="U14:U16"/>
    <mergeCell ref="V14:W15"/>
    <mergeCell ref="O15:P15"/>
    <mergeCell ref="Q15:R15"/>
    <mergeCell ref="S15:T15"/>
    <mergeCell ref="E98:F9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1" zoomScale="70" zoomScaleSheetLayoutView="70" workbookViewId="0">
      <selection activeCell="AZ14" sqref="AZ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38"/>
      <c r="AR1" s="255"/>
      <c r="AS1" s="255"/>
      <c r="AT1" s="538"/>
      <c r="AU1" s="538"/>
      <c r="AV1" s="53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3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3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296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38"/>
      <c r="AR12" s="255"/>
      <c r="AS12" s="255"/>
      <c r="AT12" s="539"/>
      <c r="AU12" s="539"/>
      <c r="AV12" s="53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297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39"/>
      <c r="D16" s="748"/>
      <c r="E16" s="685"/>
      <c r="F16" s="685"/>
      <c r="G16" s="202"/>
      <c r="H16" s="201"/>
      <c r="I16" s="201"/>
      <c r="J16" s="241"/>
      <c r="K16" s="241"/>
      <c r="L16" s="241"/>
      <c r="M16" s="537" t="s">
        <v>77</v>
      </c>
      <c r="N16" s="537" t="s">
        <v>78</v>
      </c>
      <c r="O16" s="537" t="s">
        <v>77</v>
      </c>
      <c r="P16" s="537" t="s">
        <v>78</v>
      </c>
      <c r="Q16" s="537" t="s">
        <v>77</v>
      </c>
      <c r="R16" s="537" t="s">
        <v>78</v>
      </c>
      <c r="S16" s="537" t="s">
        <v>77</v>
      </c>
      <c r="T16" s="537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36" t="s">
        <v>77</v>
      </c>
      <c r="AE16" s="536" t="s">
        <v>78</v>
      </c>
      <c r="AF16" s="205" t="s">
        <v>77</v>
      </c>
      <c r="AG16" s="205" t="s">
        <v>78</v>
      </c>
      <c r="AH16" s="536" t="s">
        <v>77</v>
      </c>
      <c r="AI16" s="536" t="s">
        <v>78</v>
      </c>
      <c r="AJ16" s="207" t="s">
        <v>96</v>
      </c>
      <c r="AK16" s="96" t="s">
        <v>19</v>
      </c>
      <c r="AL16" s="534" t="s">
        <v>96</v>
      </c>
      <c r="AM16" s="534" t="s">
        <v>19</v>
      </c>
      <c r="AN16" s="216" t="s">
        <v>96</v>
      </c>
      <c r="AO16" s="216" t="s">
        <v>19</v>
      </c>
      <c r="AP16" s="207" t="s">
        <v>96</v>
      </c>
      <c r="AQ16" s="534" t="s">
        <v>96</v>
      </c>
      <c r="AR16" s="534" t="s">
        <v>107</v>
      </c>
      <c r="AS16" s="534" t="s">
        <v>19</v>
      </c>
      <c r="AT16" s="535" t="s">
        <v>96</v>
      </c>
      <c r="AU16" s="535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90-55-35</f>
        <v>0</v>
      </c>
      <c r="AU29" s="228">
        <f t="shared" si="4"/>
        <v>0</v>
      </c>
      <c r="AV29" s="279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f>15-15</f>
        <v>0</v>
      </c>
      <c r="AU30" s="228"/>
      <c r="AV30" s="279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25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527" t="s">
        <v>132</v>
      </c>
      <c r="V44" s="193">
        <v>234</v>
      </c>
      <c r="W44" s="532">
        <v>43143</v>
      </c>
      <c r="X44" s="193" t="s">
        <v>143</v>
      </c>
      <c r="Y44" s="200">
        <v>43164</v>
      </c>
      <c r="Z44" s="193"/>
      <c r="AA44" s="193"/>
      <c r="AB44" s="192">
        <v>0</v>
      </c>
      <c r="AC44" s="530">
        <v>0</v>
      </c>
      <c r="AD44" s="531">
        <v>15</v>
      </c>
      <c r="AE44" s="530">
        <v>3032.7</v>
      </c>
      <c r="AF44" s="531"/>
      <c r="AG44" s="530"/>
      <c r="AH44" s="531"/>
      <c r="AI44" s="530"/>
      <c r="AJ44" s="247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15</v>
      </c>
      <c r="AU44" s="228">
        <f t="shared" si="4"/>
        <v>3032.7000000000003</v>
      </c>
      <c r="AV44" s="247">
        <f t="shared" si="5"/>
        <v>15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124</v>
      </c>
      <c r="V48" s="115">
        <v>135</v>
      </c>
      <c r="W48" s="114">
        <v>42761</v>
      </c>
      <c r="X48" s="193" t="s">
        <v>126</v>
      </c>
      <c r="Y48" s="200">
        <v>43130</v>
      </c>
      <c r="Z48" s="193"/>
      <c r="AA48" s="193"/>
      <c r="AB48" s="22">
        <v>0</v>
      </c>
      <c r="AC48" s="170">
        <v>0</v>
      </c>
      <c r="AD48" s="209">
        <v>155</v>
      </c>
      <c r="AE48" s="194">
        <v>31337.9</v>
      </c>
      <c r="AF48" s="209"/>
      <c r="AG48" s="194"/>
      <c r="AH48" s="209"/>
      <c r="AI48" s="194"/>
      <c r="AJ48" s="232"/>
      <c r="AK48" s="170">
        <f t="shared" si="6"/>
        <v>31337.9</v>
      </c>
      <c r="AL48" s="272">
        <v>0</v>
      </c>
      <c r="AM48" s="212">
        <v>0</v>
      </c>
      <c r="AN48" s="269">
        <v>155</v>
      </c>
      <c r="AO48" s="217">
        <f t="shared" si="2"/>
        <v>31337.9</v>
      </c>
      <c r="AP48" s="232"/>
      <c r="AQ48" s="229"/>
      <c r="AR48" s="212">
        <v>202.18</v>
      </c>
      <c r="AS48" s="212">
        <f t="shared" si="3"/>
        <v>0</v>
      </c>
      <c r="AT48" s="227">
        <f>155-155</f>
        <v>0</v>
      </c>
      <c r="AU48" s="228">
        <f t="shared" si="4"/>
        <v>0</v>
      </c>
      <c r="AV48" s="279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340</v>
      </c>
      <c r="AU49" s="249">
        <f t="shared" si="4"/>
        <v>68741.2</v>
      </c>
      <c r="AV49" s="247">
        <f t="shared" si="5"/>
        <v>340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1006</v>
      </c>
      <c r="W52" s="114">
        <v>43244</v>
      </c>
      <c r="X52" s="193" t="s">
        <v>179</v>
      </c>
      <c r="Y52" s="200">
        <v>43285</v>
      </c>
      <c r="Z52" s="193"/>
      <c r="AA52" s="193"/>
      <c r="AB52" s="22">
        <v>0</v>
      </c>
      <c r="AC52" s="170">
        <v>0</v>
      </c>
      <c r="AD52" s="209">
        <v>45</v>
      </c>
      <c r="AE52" s="194">
        <v>8820</v>
      </c>
      <c r="AF52" s="209"/>
      <c r="AG52" s="194"/>
      <c r="AH52" s="209"/>
      <c r="AI52" s="194"/>
      <c r="AJ52" s="232"/>
      <c r="AK52" s="170">
        <f t="shared" si="6"/>
        <v>8820</v>
      </c>
      <c r="AL52" s="272">
        <v>0</v>
      </c>
      <c r="AM52" s="212">
        <v>0</v>
      </c>
      <c r="AN52" s="269">
        <v>45</v>
      </c>
      <c r="AO52" s="217">
        <f t="shared" si="2"/>
        <v>8820</v>
      </c>
      <c r="AP52" s="232"/>
      <c r="AQ52" s="229"/>
      <c r="AR52" s="212">
        <v>196</v>
      </c>
      <c r="AS52" s="212">
        <f t="shared" si="3"/>
        <v>0</v>
      </c>
      <c r="AT52" s="227">
        <f>45-45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175</v>
      </c>
      <c r="V53" s="115">
        <v>1006</v>
      </c>
      <c r="W53" s="114">
        <v>43244</v>
      </c>
      <c r="X53" s="193" t="s">
        <v>179</v>
      </c>
      <c r="Y53" s="200">
        <v>43285</v>
      </c>
      <c r="Z53" s="193"/>
      <c r="AA53" s="193"/>
      <c r="AB53" s="22">
        <v>0</v>
      </c>
      <c r="AC53" s="170">
        <v>0</v>
      </c>
      <c r="AD53" s="209">
        <v>55</v>
      </c>
      <c r="AE53" s="194">
        <v>11119.9</v>
      </c>
      <c r="AF53" s="209"/>
      <c r="AG53" s="194"/>
      <c r="AH53" s="209"/>
      <c r="AI53" s="194"/>
      <c r="AJ53" s="232"/>
      <c r="AK53" s="170">
        <f t="shared" si="6"/>
        <v>11119.9</v>
      </c>
      <c r="AL53" s="272">
        <v>0</v>
      </c>
      <c r="AM53" s="212">
        <v>0</v>
      </c>
      <c r="AN53" s="269">
        <v>55</v>
      </c>
      <c r="AO53" s="217">
        <f t="shared" si="2"/>
        <v>11119.9</v>
      </c>
      <c r="AP53" s="232"/>
      <c r="AQ53" s="229"/>
      <c r="AR53" s="212">
        <v>202.18</v>
      </c>
      <c r="AS53" s="212">
        <f t="shared" si="3"/>
        <v>0</v>
      </c>
      <c r="AT53" s="227">
        <f>55-55</f>
        <v>0</v>
      </c>
      <c r="AU53" s="228">
        <f t="shared" si="4"/>
        <v>0</v>
      </c>
      <c r="AV53" s="279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262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234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234</v>
      </c>
      <c r="AU69" s="386"/>
      <c r="AV69" s="279">
        <f t="shared" si="5"/>
        <v>234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263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14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14</v>
      </c>
      <c r="AU70" s="386"/>
      <c r="AV70" s="279">
        <f t="shared" si="5"/>
        <v>14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36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36</v>
      </c>
      <c r="AU71" s="386"/>
      <c r="AV71" s="279">
        <f t="shared" si="5"/>
        <v>36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427"/>
      <c r="D78" s="428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f>766-240</f>
        <v>526</v>
      </c>
      <c r="AU79" s="228"/>
      <c r="AV79" s="279">
        <f t="shared" si="5"/>
        <v>526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350</v>
      </c>
      <c r="AC90" s="171">
        <f>SUM(AC17:AC63)</f>
        <v>190344.16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3988</v>
      </c>
      <c r="AK90" s="175">
        <f t="shared" si="14"/>
        <v>1221314.8600000001</v>
      </c>
      <c r="AL90" s="213">
        <f t="shared" si="14"/>
        <v>847</v>
      </c>
      <c r="AM90" s="214">
        <f t="shared" si="14"/>
        <v>232006.65000000002</v>
      </c>
      <c r="AN90" s="218">
        <f t="shared" si="14"/>
        <v>4954</v>
      </c>
      <c r="AO90" s="219">
        <f t="shared" si="14"/>
        <v>1163059.4400000002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7144</v>
      </c>
      <c r="AU90" s="228">
        <f>SUM(AU17:AU89)</f>
        <v>723052.49</v>
      </c>
      <c r="AV90" s="510">
        <f>SUM(AV17:AV89)</f>
        <v>7144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38"/>
      <c r="AR98" s="255"/>
      <c r="AS98" s="255"/>
      <c r="AT98" s="538"/>
      <c r="AU98" s="538"/>
      <c r="AV98" s="538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38"/>
      <c r="AR99" s="255"/>
      <c r="AS99" s="255"/>
      <c r="AT99" s="538"/>
      <c r="AU99" s="538"/>
      <c r="AV99" s="538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1" zoomScale="70" zoomScaleSheetLayoutView="70" workbookViewId="0">
      <selection activeCell="BA12" sqref="BA12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44"/>
      <c r="AR1" s="255"/>
      <c r="AS1" s="255"/>
      <c r="AT1" s="544"/>
      <c r="AU1" s="544"/>
      <c r="AV1" s="54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4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4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294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44"/>
      <c r="AR12" s="255"/>
      <c r="AS12" s="255"/>
      <c r="AT12" s="545"/>
      <c r="AU12" s="545"/>
      <c r="AV12" s="54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295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45"/>
      <c r="D16" s="748"/>
      <c r="E16" s="685"/>
      <c r="F16" s="685"/>
      <c r="G16" s="202"/>
      <c r="H16" s="201"/>
      <c r="I16" s="201"/>
      <c r="J16" s="241"/>
      <c r="K16" s="241"/>
      <c r="L16" s="241"/>
      <c r="M16" s="540" t="s">
        <v>77</v>
      </c>
      <c r="N16" s="540" t="s">
        <v>78</v>
      </c>
      <c r="O16" s="540" t="s">
        <v>77</v>
      </c>
      <c r="P16" s="540" t="s">
        <v>78</v>
      </c>
      <c r="Q16" s="540" t="s">
        <v>77</v>
      </c>
      <c r="R16" s="540" t="s">
        <v>78</v>
      </c>
      <c r="S16" s="540" t="s">
        <v>77</v>
      </c>
      <c r="T16" s="540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41" t="s">
        <v>77</v>
      </c>
      <c r="AE16" s="541" t="s">
        <v>78</v>
      </c>
      <c r="AF16" s="205" t="s">
        <v>77</v>
      </c>
      <c r="AG16" s="205" t="s">
        <v>78</v>
      </c>
      <c r="AH16" s="541" t="s">
        <v>77</v>
      </c>
      <c r="AI16" s="541" t="s">
        <v>78</v>
      </c>
      <c r="AJ16" s="207" t="s">
        <v>96</v>
      </c>
      <c r="AK16" s="96" t="s">
        <v>19</v>
      </c>
      <c r="AL16" s="542" t="s">
        <v>96</v>
      </c>
      <c r="AM16" s="542" t="s">
        <v>19</v>
      </c>
      <c r="AN16" s="216" t="s">
        <v>96</v>
      </c>
      <c r="AO16" s="216" t="s">
        <v>19</v>
      </c>
      <c r="AP16" s="207" t="s">
        <v>96</v>
      </c>
      <c r="AQ16" s="542" t="s">
        <v>96</v>
      </c>
      <c r="AR16" s="542" t="s">
        <v>107</v>
      </c>
      <c r="AS16" s="542" t="s">
        <v>19</v>
      </c>
      <c r="AT16" s="543" t="s">
        <v>96</v>
      </c>
      <c r="AU16" s="543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162" t="s">
        <v>43</v>
      </c>
      <c r="G29" s="222" t="s">
        <v>163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 t="s">
        <v>202</v>
      </c>
      <c r="V29" s="115">
        <v>1353</v>
      </c>
      <c r="W29" s="114">
        <v>43040</v>
      </c>
      <c r="X29" s="193" t="s">
        <v>203</v>
      </c>
      <c r="Y29" s="200">
        <v>43068</v>
      </c>
      <c r="Z29" s="193"/>
      <c r="AA29" s="193"/>
      <c r="AB29" s="35">
        <v>210</v>
      </c>
      <c r="AC29" s="170">
        <v>112396.2</v>
      </c>
      <c r="AD29" s="209"/>
      <c r="AE29" s="194"/>
      <c r="AF29" s="209"/>
      <c r="AG29" s="194"/>
      <c r="AH29" s="209"/>
      <c r="AI29" s="194"/>
      <c r="AJ29" s="232"/>
      <c r="AK29" s="170">
        <f t="shared" si="6"/>
        <v>0</v>
      </c>
      <c r="AL29" s="272">
        <f>55+20+30</f>
        <v>105</v>
      </c>
      <c r="AM29" s="212">
        <f>29437.1+10704.4+16056.6</f>
        <v>56198.1</v>
      </c>
      <c r="AN29" s="269">
        <v>105</v>
      </c>
      <c r="AO29" s="217">
        <f t="shared" si="2"/>
        <v>56198.1</v>
      </c>
      <c r="AP29" s="232"/>
      <c r="AQ29" s="229"/>
      <c r="AR29" s="212">
        <v>535.22</v>
      </c>
      <c r="AS29" s="212">
        <f t="shared" si="3"/>
        <v>0</v>
      </c>
      <c r="AT29" s="227">
        <f>90-55-35</f>
        <v>0</v>
      </c>
      <c r="AU29" s="228">
        <f t="shared" si="4"/>
        <v>0</v>
      </c>
      <c r="AV29" s="279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162" t="s">
        <v>43</v>
      </c>
      <c r="G30" s="222" t="s">
        <v>163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/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/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f>15-15</f>
        <v>0</v>
      </c>
      <c r="AU30" s="228"/>
      <c r="AV30" s="279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10</v>
      </c>
      <c r="AU31" s="228"/>
      <c r="AV31" s="279">
        <f t="shared" si="5"/>
        <v>10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60</v>
      </c>
      <c r="AU33" s="228"/>
      <c r="AV33" s="279">
        <f t="shared" si="5"/>
        <v>60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15</v>
      </c>
      <c r="AU38" s="228"/>
      <c r="AV38" s="279">
        <v>15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25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527" t="s">
        <v>132</v>
      </c>
      <c r="V44" s="193">
        <v>234</v>
      </c>
      <c r="W44" s="532">
        <v>43143</v>
      </c>
      <c r="X44" s="193" t="s">
        <v>143</v>
      </c>
      <c r="Y44" s="200">
        <v>43164</v>
      </c>
      <c r="Z44" s="193"/>
      <c r="AA44" s="193"/>
      <c r="AB44" s="192">
        <v>0</v>
      </c>
      <c r="AC44" s="530">
        <v>0</v>
      </c>
      <c r="AD44" s="531">
        <v>15</v>
      </c>
      <c r="AE44" s="530">
        <v>3032.7</v>
      </c>
      <c r="AF44" s="531"/>
      <c r="AG44" s="530"/>
      <c r="AH44" s="531"/>
      <c r="AI44" s="530"/>
      <c r="AJ44" s="247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15</v>
      </c>
      <c r="AU44" s="228">
        <f t="shared" si="4"/>
        <v>3032.7000000000003</v>
      </c>
      <c r="AV44" s="247">
        <f t="shared" si="5"/>
        <v>15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3" t="s">
        <v>65</v>
      </c>
      <c r="G48" s="222" t="s">
        <v>111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124</v>
      </c>
      <c r="V48" s="115">
        <v>135</v>
      </c>
      <c r="W48" s="114">
        <v>42761</v>
      </c>
      <c r="X48" s="193" t="s">
        <v>126</v>
      </c>
      <c r="Y48" s="200">
        <v>43130</v>
      </c>
      <c r="Z48" s="193"/>
      <c r="AA48" s="193"/>
      <c r="AB48" s="22">
        <v>0</v>
      </c>
      <c r="AC48" s="170">
        <v>0</v>
      </c>
      <c r="AD48" s="209">
        <v>155</v>
      </c>
      <c r="AE48" s="194">
        <v>31337.9</v>
      </c>
      <c r="AF48" s="209"/>
      <c r="AG48" s="194"/>
      <c r="AH48" s="209"/>
      <c r="AI48" s="194"/>
      <c r="AJ48" s="232"/>
      <c r="AK48" s="170">
        <f t="shared" si="6"/>
        <v>31337.9</v>
      </c>
      <c r="AL48" s="272">
        <v>0</v>
      </c>
      <c r="AM48" s="212">
        <v>0</v>
      </c>
      <c r="AN48" s="269">
        <v>155</v>
      </c>
      <c r="AO48" s="217">
        <f t="shared" si="2"/>
        <v>31337.9</v>
      </c>
      <c r="AP48" s="232"/>
      <c r="AQ48" s="229"/>
      <c r="AR48" s="212">
        <v>202.18</v>
      </c>
      <c r="AS48" s="212">
        <f t="shared" si="3"/>
        <v>0</v>
      </c>
      <c r="AT48" s="227">
        <f>155-155</f>
        <v>0</v>
      </c>
      <c r="AU48" s="228">
        <f t="shared" si="4"/>
        <v>0</v>
      </c>
      <c r="AV48" s="279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340</v>
      </c>
      <c r="AU49" s="249">
        <f t="shared" si="4"/>
        <v>68741.2</v>
      </c>
      <c r="AV49" s="247">
        <f t="shared" si="5"/>
        <v>340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3" t="s">
        <v>65</v>
      </c>
      <c r="G52" s="222" t="s">
        <v>111</v>
      </c>
      <c r="H52" s="193" t="s">
        <v>91</v>
      </c>
      <c r="I52" s="193" t="s">
        <v>91</v>
      </c>
      <c r="J52" s="193"/>
      <c r="K52" s="193"/>
      <c r="L52" s="243"/>
      <c r="M52" s="242">
        <f t="shared" si="0"/>
        <v>0</v>
      </c>
      <c r="N52" s="243">
        <f t="shared" si="1"/>
        <v>0</v>
      </c>
      <c r="O52" s="193"/>
      <c r="P52" s="243"/>
      <c r="Q52" s="193"/>
      <c r="R52" s="243"/>
      <c r="S52" s="193"/>
      <c r="T52" s="243"/>
      <c r="U52" s="203" t="s">
        <v>175</v>
      </c>
      <c r="V52" s="115">
        <v>1006</v>
      </c>
      <c r="W52" s="114">
        <v>43244</v>
      </c>
      <c r="X52" s="193" t="s">
        <v>179</v>
      </c>
      <c r="Y52" s="200">
        <v>43285</v>
      </c>
      <c r="Z52" s="193"/>
      <c r="AA52" s="193"/>
      <c r="AB52" s="22">
        <v>0</v>
      </c>
      <c r="AC52" s="170">
        <v>0</v>
      </c>
      <c r="AD52" s="209">
        <v>45</v>
      </c>
      <c r="AE52" s="194">
        <v>8820</v>
      </c>
      <c r="AF52" s="209"/>
      <c r="AG52" s="194"/>
      <c r="AH52" s="209"/>
      <c r="AI52" s="194"/>
      <c r="AJ52" s="232"/>
      <c r="AK52" s="170">
        <f t="shared" si="6"/>
        <v>8820</v>
      </c>
      <c r="AL52" s="272">
        <v>0</v>
      </c>
      <c r="AM52" s="212">
        <v>0</v>
      </c>
      <c r="AN52" s="269">
        <v>45</v>
      </c>
      <c r="AO52" s="217">
        <f t="shared" si="2"/>
        <v>8820</v>
      </c>
      <c r="AP52" s="232"/>
      <c r="AQ52" s="229"/>
      <c r="AR52" s="212">
        <v>196</v>
      </c>
      <c r="AS52" s="212">
        <f t="shared" si="3"/>
        <v>0</v>
      </c>
      <c r="AT52" s="227">
        <f>45-45</f>
        <v>0</v>
      </c>
      <c r="AU52" s="228">
        <f t="shared" si="4"/>
        <v>0</v>
      </c>
      <c r="AV52" s="279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3" t="s">
        <v>65</v>
      </c>
      <c r="G53" s="222" t="s">
        <v>111</v>
      </c>
      <c r="H53" s="193" t="s">
        <v>91</v>
      </c>
      <c r="I53" s="193" t="s">
        <v>91</v>
      </c>
      <c r="J53" s="193"/>
      <c r="K53" s="193"/>
      <c r="L53" s="243"/>
      <c r="M53" s="242">
        <f t="shared" si="0"/>
        <v>0</v>
      </c>
      <c r="N53" s="243">
        <f t="shared" si="1"/>
        <v>0</v>
      </c>
      <c r="O53" s="193"/>
      <c r="P53" s="243"/>
      <c r="Q53" s="193"/>
      <c r="R53" s="243"/>
      <c r="S53" s="193"/>
      <c r="T53" s="243"/>
      <c r="U53" s="203" t="s">
        <v>175</v>
      </c>
      <c r="V53" s="115">
        <v>1006</v>
      </c>
      <c r="W53" s="114">
        <v>43244</v>
      </c>
      <c r="X53" s="193" t="s">
        <v>179</v>
      </c>
      <c r="Y53" s="200">
        <v>43285</v>
      </c>
      <c r="Z53" s="193"/>
      <c r="AA53" s="193"/>
      <c r="AB53" s="22">
        <v>0</v>
      </c>
      <c r="AC53" s="170">
        <v>0</v>
      </c>
      <c r="AD53" s="209">
        <v>55</v>
      </c>
      <c r="AE53" s="194">
        <v>11119.9</v>
      </c>
      <c r="AF53" s="209"/>
      <c r="AG53" s="194"/>
      <c r="AH53" s="209"/>
      <c r="AI53" s="194"/>
      <c r="AJ53" s="232"/>
      <c r="AK53" s="170">
        <f t="shared" si="6"/>
        <v>11119.9</v>
      </c>
      <c r="AL53" s="272">
        <v>0</v>
      </c>
      <c r="AM53" s="212">
        <v>0</v>
      </c>
      <c r="AN53" s="269">
        <v>55</v>
      </c>
      <c r="AO53" s="217">
        <f t="shared" si="2"/>
        <v>11119.9</v>
      </c>
      <c r="AP53" s="232"/>
      <c r="AQ53" s="229"/>
      <c r="AR53" s="212">
        <v>202.18</v>
      </c>
      <c r="AS53" s="212">
        <f t="shared" si="3"/>
        <v>0</v>
      </c>
      <c r="AT53" s="227">
        <f>55-55</f>
        <v>0</v>
      </c>
      <c r="AU53" s="228">
        <f t="shared" si="4"/>
        <v>0</v>
      </c>
      <c r="AV53" s="279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262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234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234</v>
      </c>
      <c r="AU69" s="386"/>
      <c r="AV69" s="279">
        <f t="shared" si="5"/>
        <v>234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263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14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14</v>
      </c>
      <c r="AU70" s="386"/>
      <c r="AV70" s="279">
        <f t="shared" si="5"/>
        <v>14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36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36</v>
      </c>
      <c r="AU71" s="386"/>
      <c r="AV71" s="279">
        <f t="shared" si="5"/>
        <v>36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427"/>
      <c r="D78" s="428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f>766-240</f>
        <v>526</v>
      </c>
      <c r="AU79" s="228"/>
      <c r="AV79" s="279">
        <f t="shared" si="5"/>
        <v>526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350</v>
      </c>
      <c r="AC90" s="171">
        <f>SUM(AC17:AC63)</f>
        <v>190344.16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3988</v>
      </c>
      <c r="AK90" s="175">
        <f t="shared" si="14"/>
        <v>1221314.8600000001</v>
      </c>
      <c r="AL90" s="213">
        <f t="shared" si="14"/>
        <v>847</v>
      </c>
      <c r="AM90" s="214">
        <f t="shared" si="14"/>
        <v>232006.65000000002</v>
      </c>
      <c r="AN90" s="218">
        <f t="shared" si="14"/>
        <v>4954</v>
      </c>
      <c r="AO90" s="219">
        <f t="shared" si="14"/>
        <v>1163059.4400000002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7144</v>
      </c>
      <c r="AU90" s="228">
        <f>SUM(AU17:AU89)</f>
        <v>723052.49</v>
      </c>
      <c r="AV90" s="510">
        <f>SUM(AV17:AV89)</f>
        <v>7144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44"/>
      <c r="AR98" s="255"/>
      <c r="AS98" s="255"/>
      <c r="AT98" s="544"/>
      <c r="AU98" s="544"/>
      <c r="AV98" s="544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44"/>
      <c r="AR99" s="255"/>
      <c r="AS99" s="255"/>
      <c r="AT99" s="544"/>
      <c r="AU99" s="544"/>
      <c r="AV99" s="544"/>
    </row>
  </sheetData>
  <mergeCells count="40">
    <mergeCell ref="D11:AV11"/>
    <mergeCell ref="E6:AT6"/>
    <mergeCell ref="D7:AV7"/>
    <mergeCell ref="D8:AV8"/>
    <mergeCell ref="D9:AV9"/>
    <mergeCell ref="D10:AV10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1" zoomScale="70" zoomScaleSheetLayoutView="70" workbookViewId="0">
      <selection activeCell="C78" sqref="C78:D78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50"/>
      <c r="AR1" s="255"/>
      <c r="AS1" s="255"/>
      <c r="AT1" s="550"/>
      <c r="AU1" s="550"/>
      <c r="AV1" s="55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5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5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298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50"/>
      <c r="AR12" s="255"/>
      <c r="AS12" s="255"/>
      <c r="AT12" s="551"/>
      <c r="AU12" s="551"/>
      <c r="AV12" s="55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299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51"/>
      <c r="D16" s="748"/>
      <c r="E16" s="685"/>
      <c r="F16" s="685"/>
      <c r="G16" s="202"/>
      <c r="H16" s="201"/>
      <c r="I16" s="201"/>
      <c r="J16" s="241"/>
      <c r="K16" s="241"/>
      <c r="L16" s="241"/>
      <c r="M16" s="549" t="s">
        <v>77</v>
      </c>
      <c r="N16" s="549" t="s">
        <v>78</v>
      </c>
      <c r="O16" s="549" t="s">
        <v>77</v>
      </c>
      <c r="P16" s="549" t="s">
        <v>78</v>
      </c>
      <c r="Q16" s="549" t="s">
        <v>77</v>
      </c>
      <c r="R16" s="549" t="s">
        <v>78</v>
      </c>
      <c r="S16" s="549" t="s">
        <v>77</v>
      </c>
      <c r="T16" s="54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48" t="s">
        <v>77</v>
      </c>
      <c r="AE16" s="548" t="s">
        <v>78</v>
      </c>
      <c r="AF16" s="205" t="s">
        <v>77</v>
      </c>
      <c r="AG16" s="205" t="s">
        <v>78</v>
      </c>
      <c r="AH16" s="548" t="s">
        <v>77</v>
      </c>
      <c r="AI16" s="548" t="s">
        <v>78</v>
      </c>
      <c r="AJ16" s="207" t="s">
        <v>96</v>
      </c>
      <c r="AK16" s="96" t="s">
        <v>19</v>
      </c>
      <c r="AL16" s="546" t="s">
        <v>96</v>
      </c>
      <c r="AM16" s="546" t="s">
        <v>19</v>
      </c>
      <c r="AN16" s="216" t="s">
        <v>96</v>
      </c>
      <c r="AO16" s="216" t="s">
        <v>19</v>
      </c>
      <c r="AP16" s="207" t="s">
        <v>96</v>
      </c>
      <c r="AQ16" s="546" t="s">
        <v>96</v>
      </c>
      <c r="AR16" s="546" t="s">
        <v>107</v>
      </c>
      <c r="AS16" s="546" t="s">
        <v>19</v>
      </c>
      <c r="AT16" s="547" t="s">
        <v>96</v>
      </c>
      <c r="AU16" s="54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customHeight="1">
      <c r="A29" s="59"/>
      <c r="B29" s="60"/>
      <c r="C29" s="60"/>
      <c r="D29" s="22"/>
      <c r="E29" s="79" t="s">
        <v>24</v>
      </c>
      <c r="F29" s="51" t="s">
        <v>43</v>
      </c>
      <c r="G29" s="275" t="s">
        <v>163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 t="s">
        <v>202</v>
      </c>
      <c r="V29" s="115">
        <v>1353</v>
      </c>
      <c r="W29" s="114">
        <v>43040</v>
      </c>
      <c r="X29" s="115" t="s">
        <v>203</v>
      </c>
      <c r="Y29" s="221">
        <v>43068</v>
      </c>
      <c r="Z29" s="115"/>
      <c r="AA29" s="115"/>
      <c r="AB29" s="35">
        <v>210</v>
      </c>
      <c r="AC29" s="170">
        <v>112396.2</v>
      </c>
      <c r="AD29" s="208"/>
      <c r="AE29" s="170"/>
      <c r="AF29" s="208"/>
      <c r="AG29" s="170"/>
      <c r="AH29" s="208"/>
      <c r="AI29" s="170"/>
      <c r="AJ29" s="233"/>
      <c r="AK29" s="170">
        <f t="shared" si="6"/>
        <v>0</v>
      </c>
      <c r="AL29" s="270">
        <f>55+20+30</f>
        <v>105</v>
      </c>
      <c r="AM29" s="170">
        <f>29437.1+10704.4+16056.6</f>
        <v>56198.1</v>
      </c>
      <c r="AN29" s="270">
        <v>105</v>
      </c>
      <c r="AO29" s="170">
        <f t="shared" si="2"/>
        <v>56198.1</v>
      </c>
      <c r="AP29" s="233"/>
      <c r="AQ29" s="233"/>
      <c r="AR29" s="170">
        <v>535.22</v>
      </c>
      <c r="AS29" s="170">
        <f t="shared" si="3"/>
        <v>0</v>
      </c>
      <c r="AT29" s="233">
        <f>90-55-35</f>
        <v>0</v>
      </c>
      <c r="AU29" s="386">
        <f t="shared" si="4"/>
        <v>0</v>
      </c>
      <c r="AV29" s="233">
        <f t="shared" si="5"/>
        <v>0</v>
      </c>
    </row>
    <row r="30" spans="1:49" s="62" customFormat="1" ht="24" customHeight="1">
      <c r="A30" s="59"/>
      <c r="B30" s="60"/>
      <c r="C30" s="60"/>
      <c r="D30" s="22"/>
      <c r="E30" s="79"/>
      <c r="F30" s="51" t="s">
        <v>43</v>
      </c>
      <c r="G30" s="275" t="s">
        <v>163</v>
      </c>
      <c r="H30" s="115"/>
      <c r="I30" s="115"/>
      <c r="J30" s="115"/>
      <c r="K30" s="115"/>
      <c r="L30" s="276"/>
      <c r="M30" s="277"/>
      <c r="N30" s="276"/>
      <c r="O30" s="115"/>
      <c r="P30" s="276"/>
      <c r="Q30" s="115"/>
      <c r="R30" s="276"/>
      <c r="S30" s="115"/>
      <c r="T30" s="276"/>
      <c r="U30" s="278"/>
      <c r="V30" s="115"/>
      <c r="W30" s="114"/>
      <c r="X30" s="115"/>
      <c r="Y30" s="221"/>
      <c r="Z30" s="115"/>
      <c r="AA30" s="115"/>
      <c r="AB30" s="35"/>
      <c r="AC30" s="170"/>
      <c r="AD30" s="208"/>
      <c r="AE30" s="170"/>
      <c r="AF30" s="208"/>
      <c r="AG30" s="170"/>
      <c r="AH30" s="208"/>
      <c r="AI30" s="170"/>
      <c r="AJ30" s="233"/>
      <c r="AK30" s="170"/>
      <c r="AL30" s="270"/>
      <c r="AM30" s="170"/>
      <c r="AN30" s="270"/>
      <c r="AO30" s="170"/>
      <c r="AP30" s="233"/>
      <c r="AQ30" s="233"/>
      <c r="AR30" s="170"/>
      <c r="AS30" s="170"/>
      <c r="AT30" s="233">
        <f>15-15</f>
        <v>0</v>
      </c>
      <c r="AU30" s="386"/>
      <c r="AV30" s="233">
        <f t="shared" si="5"/>
        <v>0</v>
      </c>
    </row>
    <row r="31" spans="1:49" s="62" customFormat="1" ht="24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243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/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0</v>
      </c>
      <c r="AU31" s="228"/>
      <c r="AV31" s="279">
        <f t="shared" si="5"/>
        <v>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40</v>
      </c>
      <c r="AU33" s="228"/>
      <c r="AV33" s="279">
        <f t="shared" si="5"/>
        <v>40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customHeight="1">
      <c r="A38" s="59"/>
      <c r="B38" s="60"/>
      <c r="C38" s="60"/>
      <c r="D38" s="22"/>
      <c r="E38" s="79"/>
      <c r="F38" s="149" t="s">
        <v>44</v>
      </c>
      <c r="G38" s="222" t="s">
        <v>116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/>
      <c r="V38" s="115"/>
      <c r="W38" s="114"/>
      <c r="X38" s="193"/>
      <c r="Y38" s="200"/>
      <c r="Z38" s="193"/>
      <c r="AA38" s="200"/>
      <c r="AB38" s="22"/>
      <c r="AC38" s="170"/>
      <c r="AD38" s="209"/>
      <c r="AE38" s="194"/>
      <c r="AF38" s="209"/>
      <c r="AG38" s="194"/>
      <c r="AH38" s="209"/>
      <c r="AI38" s="194"/>
      <c r="AJ38" s="232"/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0</v>
      </c>
      <c r="AU38" s="228"/>
      <c r="AV38" s="279">
        <v>0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customHeight="1">
      <c r="A44" s="59"/>
      <c r="B44" s="60"/>
      <c r="C44" s="137"/>
      <c r="D44" s="192"/>
      <c r="E44" s="79" t="s">
        <v>24</v>
      </c>
      <c r="F44" s="525" t="s">
        <v>65</v>
      </c>
      <c r="G44" s="222" t="s">
        <v>111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527" t="s">
        <v>132</v>
      </c>
      <c r="V44" s="193">
        <v>234</v>
      </c>
      <c r="W44" s="532">
        <v>43143</v>
      </c>
      <c r="X44" s="193" t="s">
        <v>143</v>
      </c>
      <c r="Y44" s="200">
        <v>43164</v>
      </c>
      <c r="Z44" s="193"/>
      <c r="AA44" s="193"/>
      <c r="AB44" s="192">
        <v>0</v>
      </c>
      <c r="AC44" s="530">
        <v>0</v>
      </c>
      <c r="AD44" s="531">
        <v>15</v>
      </c>
      <c r="AE44" s="530">
        <v>3032.7</v>
      </c>
      <c r="AF44" s="531"/>
      <c r="AG44" s="530"/>
      <c r="AH44" s="531"/>
      <c r="AI44" s="530"/>
      <c r="AJ44" s="247"/>
      <c r="AK44" s="170">
        <f t="shared" si="6"/>
        <v>3032.7</v>
      </c>
      <c r="AL44" s="272">
        <v>0</v>
      </c>
      <c r="AM44" s="212">
        <v>0</v>
      </c>
      <c r="AN44" s="269">
        <v>15</v>
      </c>
      <c r="AO44" s="217">
        <f t="shared" si="2"/>
        <v>3032.7</v>
      </c>
      <c r="AP44" s="232"/>
      <c r="AQ44" s="229"/>
      <c r="AR44" s="212">
        <v>202.18</v>
      </c>
      <c r="AS44" s="212">
        <f t="shared" si="3"/>
        <v>0</v>
      </c>
      <c r="AT44" s="247">
        <v>0</v>
      </c>
      <c r="AU44" s="228">
        <f t="shared" si="4"/>
        <v>0</v>
      </c>
      <c r="AV44" s="247">
        <v>0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customHeight="1">
      <c r="A48" s="59"/>
      <c r="B48" s="60"/>
      <c r="C48" s="60"/>
      <c r="D48" s="22"/>
      <c r="E48" s="79" t="s">
        <v>24</v>
      </c>
      <c r="F48" s="51" t="s">
        <v>65</v>
      </c>
      <c r="G48" s="275" t="s">
        <v>111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124</v>
      </c>
      <c r="V48" s="115">
        <v>135</v>
      </c>
      <c r="W48" s="114">
        <v>42761</v>
      </c>
      <c r="X48" s="115" t="s">
        <v>126</v>
      </c>
      <c r="Y48" s="221">
        <v>43130</v>
      </c>
      <c r="Z48" s="115"/>
      <c r="AA48" s="115"/>
      <c r="AB48" s="22">
        <v>0</v>
      </c>
      <c r="AC48" s="170">
        <v>0</v>
      </c>
      <c r="AD48" s="208">
        <v>155</v>
      </c>
      <c r="AE48" s="170">
        <v>31337.9</v>
      </c>
      <c r="AF48" s="208"/>
      <c r="AG48" s="170"/>
      <c r="AH48" s="208"/>
      <c r="AI48" s="170"/>
      <c r="AJ48" s="233"/>
      <c r="AK48" s="170">
        <f t="shared" si="6"/>
        <v>31337.9</v>
      </c>
      <c r="AL48" s="270">
        <v>0</v>
      </c>
      <c r="AM48" s="170">
        <v>0</v>
      </c>
      <c r="AN48" s="270">
        <v>155</v>
      </c>
      <c r="AO48" s="170">
        <f t="shared" si="2"/>
        <v>31337.9</v>
      </c>
      <c r="AP48" s="233"/>
      <c r="AQ48" s="233"/>
      <c r="AR48" s="170">
        <v>202.18</v>
      </c>
      <c r="AS48" s="170">
        <f t="shared" si="3"/>
        <v>0</v>
      </c>
      <c r="AT48" s="233">
        <f>155-155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205</v>
      </c>
      <c r="AU49" s="249">
        <f t="shared" si="4"/>
        <v>41446.9</v>
      </c>
      <c r="AV49" s="247">
        <f t="shared" si="5"/>
        <v>205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customHeight="1">
      <c r="A52" s="59"/>
      <c r="B52" s="60"/>
      <c r="C52" s="60"/>
      <c r="D52" s="22"/>
      <c r="E52" s="79" t="s">
        <v>24</v>
      </c>
      <c r="F52" s="51" t="s">
        <v>65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175</v>
      </c>
      <c r="V52" s="115">
        <v>1006</v>
      </c>
      <c r="W52" s="114">
        <v>43244</v>
      </c>
      <c r="X52" s="115" t="s">
        <v>179</v>
      </c>
      <c r="Y52" s="221">
        <v>43285</v>
      </c>
      <c r="Z52" s="115"/>
      <c r="AA52" s="115"/>
      <c r="AB52" s="22">
        <v>0</v>
      </c>
      <c r="AC52" s="170">
        <v>0</v>
      </c>
      <c r="AD52" s="208">
        <v>45</v>
      </c>
      <c r="AE52" s="170">
        <v>8820</v>
      </c>
      <c r="AF52" s="208"/>
      <c r="AG52" s="170"/>
      <c r="AH52" s="208"/>
      <c r="AI52" s="170"/>
      <c r="AJ52" s="233"/>
      <c r="AK52" s="170">
        <f t="shared" si="6"/>
        <v>8820</v>
      </c>
      <c r="AL52" s="270">
        <v>0</v>
      </c>
      <c r="AM52" s="170">
        <v>0</v>
      </c>
      <c r="AN52" s="270">
        <v>45</v>
      </c>
      <c r="AO52" s="170">
        <f t="shared" si="2"/>
        <v>8820</v>
      </c>
      <c r="AP52" s="233"/>
      <c r="AQ52" s="233"/>
      <c r="AR52" s="170">
        <v>196</v>
      </c>
      <c r="AS52" s="170">
        <f t="shared" si="3"/>
        <v>0</v>
      </c>
      <c r="AT52" s="233">
        <f>45-45</f>
        <v>0</v>
      </c>
      <c r="AU52" s="386">
        <f t="shared" si="4"/>
        <v>0</v>
      </c>
      <c r="AV52" s="233">
        <f t="shared" si="5"/>
        <v>0</v>
      </c>
    </row>
    <row r="53" spans="1:48" s="62" customFormat="1" ht="26.25" customHeight="1">
      <c r="A53" s="59"/>
      <c r="B53" s="60"/>
      <c r="C53" s="60"/>
      <c r="D53" s="22"/>
      <c r="E53" s="79" t="s">
        <v>24</v>
      </c>
      <c r="F53" s="51" t="s">
        <v>65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175</v>
      </c>
      <c r="V53" s="115">
        <v>1006</v>
      </c>
      <c r="W53" s="114">
        <v>43244</v>
      </c>
      <c r="X53" s="115" t="s">
        <v>179</v>
      </c>
      <c r="Y53" s="221">
        <v>43285</v>
      </c>
      <c r="Z53" s="115"/>
      <c r="AA53" s="115"/>
      <c r="AB53" s="22">
        <v>0</v>
      </c>
      <c r="AC53" s="170">
        <v>0</v>
      </c>
      <c r="AD53" s="208">
        <v>55</v>
      </c>
      <c r="AE53" s="170">
        <v>11119.9</v>
      </c>
      <c r="AF53" s="208"/>
      <c r="AG53" s="170"/>
      <c r="AH53" s="208"/>
      <c r="AI53" s="170"/>
      <c r="AJ53" s="233"/>
      <c r="AK53" s="170">
        <f t="shared" si="6"/>
        <v>11119.9</v>
      </c>
      <c r="AL53" s="270">
        <v>0</v>
      </c>
      <c r="AM53" s="170">
        <v>0</v>
      </c>
      <c r="AN53" s="270">
        <v>55</v>
      </c>
      <c r="AO53" s="170">
        <f t="shared" si="2"/>
        <v>11119.9</v>
      </c>
      <c r="AP53" s="233"/>
      <c r="AQ53" s="233"/>
      <c r="AR53" s="170">
        <v>202.18</v>
      </c>
      <c r="AS53" s="170">
        <f t="shared" si="3"/>
        <v>0</v>
      </c>
      <c r="AT53" s="233">
        <f>55-55</f>
        <v>0</v>
      </c>
      <c r="AU53" s="386">
        <f t="shared" si="4"/>
        <v>0</v>
      </c>
      <c r="AV53" s="233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>AT69</f>
        <v>36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262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234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234</v>
      </c>
      <c r="AU70" s="386"/>
      <c r="AV70" s="279">
        <f t="shared" si="5"/>
        <v>234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14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14</v>
      </c>
      <c r="AU71" s="386"/>
      <c r="AV71" s="279">
        <f t="shared" si="5"/>
        <v>14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166</v>
      </c>
      <c r="AU79" s="228"/>
      <c r="AV79" s="279">
        <f t="shared" si="5"/>
        <v>166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350</v>
      </c>
      <c r="AC90" s="171">
        <f>SUM(AC17:AC63)</f>
        <v>190344.16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3988</v>
      </c>
      <c r="AK90" s="175">
        <f t="shared" si="14"/>
        <v>1221314.8600000001</v>
      </c>
      <c r="AL90" s="213">
        <f t="shared" si="14"/>
        <v>847</v>
      </c>
      <c r="AM90" s="214">
        <f t="shared" si="14"/>
        <v>232006.65000000002</v>
      </c>
      <c r="AN90" s="218">
        <f t="shared" si="14"/>
        <v>4954</v>
      </c>
      <c r="AO90" s="219">
        <f t="shared" si="14"/>
        <v>1163059.4400000002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6589</v>
      </c>
      <c r="AU90" s="228">
        <f>SUM(AU17:AU89)</f>
        <v>692725.49</v>
      </c>
      <c r="AV90" s="510">
        <f>SUM(AV17:AV89)</f>
        <v>6589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50"/>
      <c r="AR98" s="255"/>
      <c r="AS98" s="255"/>
      <c r="AT98" s="550"/>
      <c r="AU98" s="550"/>
      <c r="AV98" s="550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50"/>
      <c r="AR99" s="255"/>
      <c r="AS99" s="255"/>
      <c r="AT99" s="550"/>
      <c r="AU99" s="550"/>
      <c r="AV99" s="550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1" zoomScale="70" zoomScaleSheetLayoutView="70" workbookViewId="0">
      <selection activeCell="AW22" sqref="AW22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56"/>
      <c r="AR1" s="255"/>
      <c r="AS1" s="255"/>
      <c r="AT1" s="556"/>
      <c r="AU1" s="556"/>
      <c r="AV1" s="556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56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56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300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56"/>
      <c r="AR12" s="255"/>
      <c r="AS12" s="255"/>
      <c r="AT12" s="557"/>
      <c r="AU12" s="557"/>
      <c r="AV12" s="557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301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57"/>
      <c r="D16" s="748"/>
      <c r="E16" s="685"/>
      <c r="F16" s="685"/>
      <c r="G16" s="202"/>
      <c r="H16" s="201"/>
      <c r="I16" s="201"/>
      <c r="J16" s="241"/>
      <c r="K16" s="241"/>
      <c r="L16" s="241"/>
      <c r="M16" s="552" t="s">
        <v>77</v>
      </c>
      <c r="N16" s="552" t="s">
        <v>78</v>
      </c>
      <c r="O16" s="552" t="s">
        <v>77</v>
      </c>
      <c r="P16" s="552" t="s">
        <v>78</v>
      </c>
      <c r="Q16" s="552" t="s">
        <v>77</v>
      </c>
      <c r="R16" s="552" t="s">
        <v>78</v>
      </c>
      <c r="S16" s="552" t="s">
        <v>77</v>
      </c>
      <c r="T16" s="552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53" t="s">
        <v>77</v>
      </c>
      <c r="AE16" s="553" t="s">
        <v>78</v>
      </c>
      <c r="AF16" s="205" t="s">
        <v>77</v>
      </c>
      <c r="AG16" s="205" t="s">
        <v>78</v>
      </c>
      <c r="AH16" s="553" t="s">
        <v>77</v>
      </c>
      <c r="AI16" s="553" t="s">
        <v>78</v>
      </c>
      <c r="AJ16" s="207" t="s">
        <v>96</v>
      </c>
      <c r="AK16" s="96" t="s">
        <v>19</v>
      </c>
      <c r="AL16" s="554" t="s">
        <v>96</v>
      </c>
      <c r="AM16" s="554" t="s">
        <v>19</v>
      </c>
      <c r="AN16" s="216" t="s">
        <v>96</v>
      </c>
      <c r="AO16" s="216" t="s">
        <v>19</v>
      </c>
      <c r="AP16" s="207" t="s">
        <v>96</v>
      </c>
      <c r="AQ16" s="554" t="s">
        <v>96</v>
      </c>
      <c r="AR16" s="554" t="s">
        <v>107</v>
      </c>
      <c r="AS16" s="554" t="s">
        <v>19</v>
      </c>
      <c r="AT16" s="555" t="s">
        <v>96</v>
      </c>
      <c r="AU16" s="555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hidden="1" customHeight="1">
      <c r="A29" s="59"/>
      <c r="B29" s="60"/>
      <c r="C29" s="60"/>
      <c r="D29" s="22"/>
      <c r="E29" s="79" t="s">
        <v>24</v>
      </c>
      <c r="F29" s="51" t="s">
        <v>43</v>
      </c>
      <c r="G29" s="275" t="s">
        <v>163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 t="s">
        <v>202</v>
      </c>
      <c r="V29" s="115">
        <v>1353</v>
      </c>
      <c r="W29" s="114">
        <v>43040</v>
      </c>
      <c r="X29" s="115" t="s">
        <v>203</v>
      </c>
      <c r="Y29" s="221">
        <v>43068</v>
      </c>
      <c r="Z29" s="115"/>
      <c r="AA29" s="115"/>
      <c r="AB29" s="35">
        <v>210</v>
      </c>
      <c r="AC29" s="170">
        <v>112396.2</v>
      </c>
      <c r="AD29" s="208"/>
      <c r="AE29" s="170"/>
      <c r="AF29" s="208"/>
      <c r="AG29" s="170"/>
      <c r="AH29" s="208"/>
      <c r="AI29" s="170"/>
      <c r="AJ29" s="233"/>
      <c r="AK29" s="170">
        <f t="shared" si="6"/>
        <v>0</v>
      </c>
      <c r="AL29" s="270">
        <f>55+20+30</f>
        <v>105</v>
      </c>
      <c r="AM29" s="170">
        <f>29437.1+10704.4+16056.6</f>
        <v>56198.1</v>
      </c>
      <c r="AN29" s="270">
        <v>105</v>
      </c>
      <c r="AO29" s="170">
        <f t="shared" si="2"/>
        <v>56198.1</v>
      </c>
      <c r="AP29" s="233"/>
      <c r="AQ29" s="233"/>
      <c r="AR29" s="170">
        <v>535.22</v>
      </c>
      <c r="AS29" s="170">
        <f t="shared" si="3"/>
        <v>0</v>
      </c>
      <c r="AT29" s="233">
        <f>90-55-35</f>
        <v>0</v>
      </c>
      <c r="AU29" s="386">
        <f t="shared" si="4"/>
        <v>0</v>
      </c>
      <c r="AV29" s="233">
        <f t="shared" si="5"/>
        <v>0</v>
      </c>
    </row>
    <row r="30" spans="1:49" s="62" customFormat="1" ht="24" hidden="1" customHeight="1">
      <c r="A30" s="59"/>
      <c r="B30" s="60"/>
      <c r="C30" s="60"/>
      <c r="D30" s="22"/>
      <c r="E30" s="79"/>
      <c r="F30" s="51" t="s">
        <v>43</v>
      </c>
      <c r="G30" s="275" t="s">
        <v>163</v>
      </c>
      <c r="H30" s="115"/>
      <c r="I30" s="115"/>
      <c r="J30" s="115"/>
      <c r="K30" s="115"/>
      <c r="L30" s="276"/>
      <c r="M30" s="277"/>
      <c r="N30" s="276"/>
      <c r="O30" s="115"/>
      <c r="P30" s="276"/>
      <c r="Q30" s="115"/>
      <c r="R30" s="276"/>
      <c r="S30" s="115"/>
      <c r="T30" s="276"/>
      <c r="U30" s="278"/>
      <c r="V30" s="115"/>
      <c r="W30" s="114"/>
      <c r="X30" s="115"/>
      <c r="Y30" s="221"/>
      <c r="Z30" s="115"/>
      <c r="AA30" s="115"/>
      <c r="AB30" s="35"/>
      <c r="AC30" s="170"/>
      <c r="AD30" s="208"/>
      <c r="AE30" s="170"/>
      <c r="AF30" s="208"/>
      <c r="AG30" s="170"/>
      <c r="AH30" s="208"/>
      <c r="AI30" s="170"/>
      <c r="AJ30" s="233"/>
      <c r="AK30" s="170"/>
      <c r="AL30" s="270"/>
      <c r="AM30" s="170"/>
      <c r="AN30" s="270"/>
      <c r="AO30" s="170"/>
      <c r="AP30" s="233"/>
      <c r="AQ30" s="233"/>
      <c r="AR30" s="170"/>
      <c r="AS30" s="170"/>
      <c r="AT30" s="233">
        <f>15-15</f>
        <v>0</v>
      </c>
      <c r="AU30" s="386"/>
      <c r="AV30" s="233">
        <f t="shared" si="5"/>
        <v>0</v>
      </c>
    </row>
    <row r="31" spans="1:49" s="62" customFormat="1" ht="24" hidden="1" customHeight="1">
      <c r="A31" s="59"/>
      <c r="B31" s="60"/>
      <c r="C31" s="60"/>
      <c r="D31" s="22"/>
      <c r="E31" s="79"/>
      <c r="F31" s="51" t="s">
        <v>43</v>
      </c>
      <c r="G31" s="275" t="s">
        <v>163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243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/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v>0</v>
      </c>
      <c r="AU31" s="386"/>
      <c r="AV31" s="233">
        <f t="shared" si="5"/>
        <v>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40</v>
      </c>
      <c r="AU33" s="228"/>
      <c r="AV33" s="279">
        <f t="shared" si="5"/>
        <v>40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hidden="1" customHeight="1">
      <c r="A38" s="59"/>
      <c r="B38" s="60"/>
      <c r="C38" s="60"/>
      <c r="D38" s="22"/>
      <c r="E38" s="79"/>
      <c r="F38" s="51" t="s">
        <v>44</v>
      </c>
      <c r="G38" s="275" t="s">
        <v>116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/>
      <c r="V38" s="115"/>
      <c r="W38" s="114"/>
      <c r="X38" s="115"/>
      <c r="Y38" s="221"/>
      <c r="Z38" s="115"/>
      <c r="AA38" s="221"/>
      <c r="AB38" s="22"/>
      <c r="AC38" s="170"/>
      <c r="AD38" s="208"/>
      <c r="AE38" s="170"/>
      <c r="AF38" s="208"/>
      <c r="AG38" s="170"/>
      <c r="AH38" s="208"/>
      <c r="AI38" s="170"/>
      <c r="AJ38" s="233"/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v>0</v>
      </c>
      <c r="AU38" s="386"/>
      <c r="AV38" s="233">
        <v>0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hidden="1" customHeight="1">
      <c r="A44" s="59"/>
      <c r="B44" s="60"/>
      <c r="C44" s="60"/>
      <c r="D44" s="22"/>
      <c r="E44" s="79" t="s">
        <v>24</v>
      </c>
      <c r="F44" s="51" t="s">
        <v>65</v>
      </c>
      <c r="G44" s="275" t="s">
        <v>111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132</v>
      </c>
      <c r="V44" s="115">
        <v>234</v>
      </c>
      <c r="W44" s="114">
        <v>43143</v>
      </c>
      <c r="X44" s="115" t="s">
        <v>143</v>
      </c>
      <c r="Y44" s="221">
        <v>43164</v>
      </c>
      <c r="Z44" s="115"/>
      <c r="AA44" s="115"/>
      <c r="AB44" s="22">
        <v>0</v>
      </c>
      <c r="AC44" s="170">
        <v>0</v>
      </c>
      <c r="AD44" s="208">
        <v>15</v>
      </c>
      <c r="AE44" s="170">
        <v>3032.7</v>
      </c>
      <c r="AF44" s="208"/>
      <c r="AG44" s="170"/>
      <c r="AH44" s="208"/>
      <c r="AI44" s="170"/>
      <c r="AJ44" s="233"/>
      <c r="AK44" s="170">
        <f t="shared" si="6"/>
        <v>3032.7</v>
      </c>
      <c r="AL44" s="270">
        <v>0</v>
      </c>
      <c r="AM44" s="170">
        <v>0</v>
      </c>
      <c r="AN44" s="270">
        <v>15</v>
      </c>
      <c r="AO44" s="170">
        <f t="shared" si="2"/>
        <v>3032.7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v>0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hidden="1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hidden="1" customHeight="1">
      <c r="A48" s="59"/>
      <c r="B48" s="60"/>
      <c r="C48" s="60"/>
      <c r="D48" s="22"/>
      <c r="E48" s="79" t="s">
        <v>24</v>
      </c>
      <c r="F48" s="51" t="s">
        <v>65</v>
      </c>
      <c r="G48" s="275" t="s">
        <v>111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124</v>
      </c>
      <c r="V48" s="115">
        <v>135</v>
      </c>
      <c r="W48" s="114">
        <v>42761</v>
      </c>
      <c r="X48" s="115" t="s">
        <v>126</v>
      </c>
      <c r="Y48" s="221">
        <v>43130</v>
      </c>
      <c r="Z48" s="115"/>
      <c r="AA48" s="115"/>
      <c r="AB48" s="22">
        <v>0</v>
      </c>
      <c r="AC48" s="170">
        <v>0</v>
      </c>
      <c r="AD48" s="208">
        <v>155</v>
      </c>
      <c r="AE48" s="170">
        <v>31337.9</v>
      </c>
      <c r="AF48" s="208"/>
      <c r="AG48" s="170"/>
      <c r="AH48" s="208"/>
      <c r="AI48" s="170"/>
      <c r="AJ48" s="233"/>
      <c r="AK48" s="170">
        <f t="shared" si="6"/>
        <v>31337.9</v>
      </c>
      <c r="AL48" s="270">
        <v>0</v>
      </c>
      <c r="AM48" s="170">
        <v>0</v>
      </c>
      <c r="AN48" s="270">
        <v>155</v>
      </c>
      <c r="AO48" s="170">
        <f t="shared" si="2"/>
        <v>31337.9</v>
      </c>
      <c r="AP48" s="233"/>
      <c r="AQ48" s="233"/>
      <c r="AR48" s="170">
        <v>202.18</v>
      </c>
      <c r="AS48" s="170">
        <f t="shared" si="3"/>
        <v>0</v>
      </c>
      <c r="AT48" s="233">
        <f>155-155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205</v>
      </c>
      <c r="AU49" s="249">
        <f t="shared" si="4"/>
        <v>41446.9</v>
      </c>
      <c r="AV49" s="247">
        <f t="shared" si="5"/>
        <v>205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hidden="1" customHeight="1">
      <c r="A52" s="59"/>
      <c r="B52" s="60"/>
      <c r="C52" s="60"/>
      <c r="D52" s="22"/>
      <c r="E52" s="79" t="s">
        <v>24</v>
      </c>
      <c r="F52" s="51" t="s">
        <v>65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175</v>
      </c>
      <c r="V52" s="115">
        <v>1006</v>
      </c>
      <c r="W52" s="114">
        <v>43244</v>
      </c>
      <c r="X52" s="115" t="s">
        <v>179</v>
      </c>
      <c r="Y52" s="221">
        <v>43285</v>
      </c>
      <c r="Z52" s="115"/>
      <c r="AA52" s="115"/>
      <c r="AB52" s="22">
        <v>0</v>
      </c>
      <c r="AC52" s="170">
        <v>0</v>
      </c>
      <c r="AD52" s="208">
        <v>45</v>
      </c>
      <c r="AE52" s="170">
        <v>8820</v>
      </c>
      <c r="AF52" s="208"/>
      <c r="AG52" s="170"/>
      <c r="AH52" s="208"/>
      <c r="AI52" s="170"/>
      <c r="AJ52" s="233"/>
      <c r="AK52" s="170">
        <f t="shared" si="6"/>
        <v>8820</v>
      </c>
      <c r="AL52" s="270">
        <v>0</v>
      </c>
      <c r="AM52" s="170">
        <v>0</v>
      </c>
      <c r="AN52" s="270">
        <v>45</v>
      </c>
      <c r="AO52" s="170">
        <f t="shared" si="2"/>
        <v>8820</v>
      </c>
      <c r="AP52" s="233"/>
      <c r="AQ52" s="233"/>
      <c r="AR52" s="170">
        <v>196</v>
      </c>
      <c r="AS52" s="170">
        <f t="shared" si="3"/>
        <v>0</v>
      </c>
      <c r="AT52" s="233">
        <f>45-45</f>
        <v>0</v>
      </c>
      <c r="AU52" s="386">
        <f t="shared" si="4"/>
        <v>0</v>
      </c>
      <c r="AV52" s="233">
        <f t="shared" si="5"/>
        <v>0</v>
      </c>
    </row>
    <row r="53" spans="1:48" s="62" customFormat="1" ht="26.25" hidden="1" customHeight="1">
      <c r="A53" s="59"/>
      <c r="B53" s="60"/>
      <c r="C53" s="60"/>
      <c r="D53" s="22"/>
      <c r="E53" s="79" t="s">
        <v>24</v>
      </c>
      <c r="F53" s="51" t="s">
        <v>65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175</v>
      </c>
      <c r="V53" s="115">
        <v>1006</v>
      </c>
      <c r="W53" s="114">
        <v>43244</v>
      </c>
      <c r="X53" s="115" t="s">
        <v>179</v>
      </c>
      <c r="Y53" s="221">
        <v>43285</v>
      </c>
      <c r="Z53" s="115"/>
      <c r="AA53" s="115"/>
      <c r="AB53" s="22">
        <v>0</v>
      </c>
      <c r="AC53" s="170">
        <v>0</v>
      </c>
      <c r="AD53" s="208">
        <v>55</v>
      </c>
      <c r="AE53" s="170">
        <v>11119.9</v>
      </c>
      <c r="AF53" s="208"/>
      <c r="AG53" s="170"/>
      <c r="AH53" s="208"/>
      <c r="AI53" s="170"/>
      <c r="AJ53" s="233"/>
      <c r="AK53" s="170">
        <f t="shared" si="6"/>
        <v>11119.9</v>
      </c>
      <c r="AL53" s="270">
        <v>0</v>
      </c>
      <c r="AM53" s="170">
        <v>0</v>
      </c>
      <c r="AN53" s="270">
        <v>55</v>
      </c>
      <c r="AO53" s="170">
        <f t="shared" si="2"/>
        <v>11119.9</v>
      </c>
      <c r="AP53" s="233"/>
      <c r="AQ53" s="233"/>
      <c r="AR53" s="170">
        <v>202.18</v>
      </c>
      <c r="AS53" s="170">
        <f t="shared" si="3"/>
        <v>0</v>
      </c>
      <c r="AT53" s="233">
        <f>55-55</f>
        <v>0</v>
      </c>
      <c r="AU53" s="386">
        <f t="shared" si="4"/>
        <v>0</v>
      </c>
      <c r="AV53" s="233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>AT69</f>
        <v>36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262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234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234</v>
      </c>
      <c r="AU70" s="386"/>
      <c r="AV70" s="279">
        <f t="shared" si="5"/>
        <v>234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14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14</v>
      </c>
      <c r="AU71" s="386"/>
      <c r="AV71" s="279">
        <f t="shared" si="5"/>
        <v>14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166</v>
      </c>
      <c r="AU79" s="228"/>
      <c r="AV79" s="279">
        <f t="shared" si="5"/>
        <v>166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350</v>
      </c>
      <c r="AC90" s="171">
        <f>SUM(AC17:AC63)</f>
        <v>190344.16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3988</v>
      </c>
      <c r="AK90" s="175">
        <f t="shared" si="14"/>
        <v>1221314.8600000001</v>
      </c>
      <c r="AL90" s="213">
        <f t="shared" si="14"/>
        <v>847</v>
      </c>
      <c r="AM90" s="214">
        <f t="shared" si="14"/>
        <v>232006.65000000002</v>
      </c>
      <c r="AN90" s="218">
        <f t="shared" si="14"/>
        <v>4954</v>
      </c>
      <c r="AO90" s="219">
        <f t="shared" si="14"/>
        <v>1163059.4400000002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6589</v>
      </c>
      <c r="AU90" s="228">
        <f>SUM(AU17:AU89)</f>
        <v>692725.49</v>
      </c>
      <c r="AV90" s="510">
        <f>SUM(AV17:AV89)</f>
        <v>6589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56"/>
      <c r="AR98" s="255"/>
      <c r="AS98" s="255"/>
      <c r="AT98" s="556"/>
      <c r="AU98" s="556"/>
      <c r="AV98" s="556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56"/>
      <c r="AR99" s="255"/>
      <c r="AS99" s="255"/>
      <c r="AT99" s="556"/>
      <c r="AU99" s="556"/>
      <c r="AV99" s="556"/>
    </row>
  </sheetData>
  <mergeCells count="40">
    <mergeCell ref="D11:AV11"/>
    <mergeCell ref="E6:AT6"/>
    <mergeCell ref="D7:AV7"/>
    <mergeCell ref="D8:AV8"/>
    <mergeCell ref="D9:AV9"/>
    <mergeCell ref="D10:AV10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1" zoomScale="70" zoomScaleSheetLayoutView="70" workbookViewId="0">
      <selection activeCell="AY14" sqref="AY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62"/>
      <c r="AR1" s="255"/>
      <c r="AS1" s="255"/>
      <c r="AT1" s="562"/>
      <c r="AU1" s="562"/>
      <c r="AV1" s="56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6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6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302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62"/>
      <c r="AR12" s="255"/>
      <c r="AS12" s="255"/>
      <c r="AT12" s="563"/>
      <c r="AU12" s="563"/>
      <c r="AV12" s="56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303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63"/>
      <c r="D16" s="748"/>
      <c r="E16" s="685"/>
      <c r="F16" s="685"/>
      <c r="G16" s="202"/>
      <c r="H16" s="201"/>
      <c r="I16" s="201"/>
      <c r="J16" s="241"/>
      <c r="K16" s="241"/>
      <c r="L16" s="241"/>
      <c r="M16" s="561" t="s">
        <v>77</v>
      </c>
      <c r="N16" s="561" t="s">
        <v>78</v>
      </c>
      <c r="O16" s="561" t="s">
        <v>77</v>
      </c>
      <c r="P16" s="561" t="s">
        <v>78</v>
      </c>
      <c r="Q16" s="561" t="s">
        <v>77</v>
      </c>
      <c r="R16" s="561" t="s">
        <v>78</v>
      </c>
      <c r="S16" s="561" t="s">
        <v>77</v>
      </c>
      <c r="T16" s="56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60" t="s">
        <v>77</v>
      </c>
      <c r="AE16" s="560" t="s">
        <v>78</v>
      </c>
      <c r="AF16" s="205" t="s">
        <v>77</v>
      </c>
      <c r="AG16" s="205" t="s">
        <v>78</v>
      </c>
      <c r="AH16" s="560" t="s">
        <v>77</v>
      </c>
      <c r="AI16" s="560" t="s">
        <v>78</v>
      </c>
      <c r="AJ16" s="207" t="s">
        <v>96</v>
      </c>
      <c r="AK16" s="96" t="s">
        <v>19</v>
      </c>
      <c r="AL16" s="558" t="s">
        <v>96</v>
      </c>
      <c r="AM16" s="558" t="s">
        <v>19</v>
      </c>
      <c r="AN16" s="216" t="s">
        <v>96</v>
      </c>
      <c r="AO16" s="216" t="s">
        <v>19</v>
      </c>
      <c r="AP16" s="207" t="s">
        <v>96</v>
      </c>
      <c r="AQ16" s="558" t="s">
        <v>96</v>
      </c>
      <c r="AR16" s="558" t="s">
        <v>107</v>
      </c>
      <c r="AS16" s="558" t="s">
        <v>19</v>
      </c>
      <c r="AT16" s="559" t="s">
        <v>96</v>
      </c>
      <c r="AU16" s="559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31.5">
      <c r="A27" s="59"/>
      <c r="B27" s="60"/>
      <c r="C27" s="60"/>
      <c r="D27" s="22"/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268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2">
        <v>2</v>
      </c>
      <c r="AK27" s="170">
        <f t="shared" si="6"/>
        <v>20468.37</v>
      </c>
      <c r="AL27" s="272">
        <v>0</v>
      </c>
      <c r="AM27" s="212">
        <v>0</v>
      </c>
      <c r="AN27" s="269"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27">
        <v>2</v>
      </c>
      <c r="AU27" s="228">
        <f t="shared" si="4"/>
        <v>1049.6600000000001</v>
      </c>
      <c r="AV27" s="279">
        <f t="shared" si="5"/>
        <v>2</v>
      </c>
    </row>
    <row r="28" spans="1:49" s="62" customFormat="1" ht="31.5">
      <c r="A28" s="59"/>
      <c r="B28" s="60"/>
      <c r="C28" s="60"/>
      <c r="D28" s="22"/>
      <c r="E28" s="79"/>
      <c r="F28" s="179" t="s">
        <v>53</v>
      </c>
      <c r="G28" s="222" t="s">
        <v>168</v>
      </c>
      <c r="H28" s="193"/>
      <c r="I28" s="193"/>
      <c r="J28" s="193"/>
      <c r="K28" s="193"/>
      <c r="L28" s="243"/>
      <c r="M28" s="242"/>
      <c r="N28" s="243"/>
      <c r="O28" s="193"/>
      <c r="P28" s="243"/>
      <c r="Q28" s="193"/>
      <c r="R28" s="243"/>
      <c r="S28" s="193"/>
      <c r="T28" s="243"/>
      <c r="U28" s="203" t="s">
        <v>268</v>
      </c>
      <c r="V28" s="115"/>
      <c r="W28" s="114"/>
      <c r="X28" s="193"/>
      <c r="Y28" s="200"/>
      <c r="Z28" s="193"/>
      <c r="AA28" s="193"/>
      <c r="AB28" s="35"/>
      <c r="AC28" s="170"/>
      <c r="AD28" s="209"/>
      <c r="AE28" s="194"/>
      <c r="AF28" s="209"/>
      <c r="AG28" s="194"/>
      <c r="AH28" s="209"/>
      <c r="AI28" s="194"/>
      <c r="AJ28" s="232">
        <v>46</v>
      </c>
      <c r="AK28" s="170"/>
      <c r="AL28" s="272"/>
      <c r="AM28" s="212"/>
      <c r="AN28" s="269"/>
      <c r="AO28" s="217"/>
      <c r="AP28" s="232"/>
      <c r="AQ28" s="229"/>
      <c r="AR28" s="212"/>
      <c r="AS28" s="212"/>
      <c r="AT28" s="227">
        <v>46</v>
      </c>
      <c r="AU28" s="228"/>
      <c r="AV28" s="279">
        <f t="shared" si="5"/>
        <v>46</v>
      </c>
    </row>
    <row r="29" spans="1:49" s="62" customFormat="1" ht="24" hidden="1" customHeight="1">
      <c r="A29" s="59"/>
      <c r="B29" s="60"/>
      <c r="C29" s="60"/>
      <c r="D29" s="22"/>
      <c r="E29" s="79" t="s">
        <v>24</v>
      </c>
      <c r="F29" s="51" t="s">
        <v>43</v>
      </c>
      <c r="G29" s="275" t="s">
        <v>163</v>
      </c>
      <c r="H29" s="115" t="s">
        <v>91</v>
      </c>
      <c r="I29" s="115" t="s">
        <v>91</v>
      </c>
      <c r="J29" s="115"/>
      <c r="K29" s="115"/>
      <c r="L29" s="276"/>
      <c r="M29" s="277">
        <f t="shared" si="0"/>
        <v>0</v>
      </c>
      <c r="N29" s="276">
        <f t="shared" si="1"/>
        <v>0</v>
      </c>
      <c r="O29" s="115"/>
      <c r="P29" s="276"/>
      <c r="Q29" s="115"/>
      <c r="R29" s="276"/>
      <c r="S29" s="115"/>
      <c r="T29" s="276"/>
      <c r="U29" s="278" t="s">
        <v>202</v>
      </c>
      <c r="V29" s="115">
        <v>1353</v>
      </c>
      <c r="W29" s="114">
        <v>43040</v>
      </c>
      <c r="X29" s="115" t="s">
        <v>203</v>
      </c>
      <c r="Y29" s="221">
        <v>43068</v>
      </c>
      <c r="Z29" s="115"/>
      <c r="AA29" s="115"/>
      <c r="AB29" s="35">
        <v>210</v>
      </c>
      <c r="AC29" s="170">
        <v>112396.2</v>
      </c>
      <c r="AD29" s="208"/>
      <c r="AE29" s="170"/>
      <c r="AF29" s="208"/>
      <c r="AG29" s="170"/>
      <c r="AH29" s="208"/>
      <c r="AI29" s="170"/>
      <c r="AJ29" s="233"/>
      <c r="AK29" s="170">
        <f t="shared" si="6"/>
        <v>0</v>
      </c>
      <c r="AL29" s="270">
        <f>55+20+30</f>
        <v>105</v>
      </c>
      <c r="AM29" s="170">
        <f>29437.1+10704.4+16056.6</f>
        <v>56198.1</v>
      </c>
      <c r="AN29" s="270">
        <v>105</v>
      </c>
      <c r="AO29" s="170">
        <f t="shared" si="2"/>
        <v>56198.1</v>
      </c>
      <c r="AP29" s="233"/>
      <c r="AQ29" s="233"/>
      <c r="AR29" s="170">
        <v>535.22</v>
      </c>
      <c r="AS29" s="170">
        <f t="shared" si="3"/>
        <v>0</v>
      </c>
      <c r="AT29" s="233">
        <f>90-55-35</f>
        <v>0</v>
      </c>
      <c r="AU29" s="386">
        <f t="shared" si="4"/>
        <v>0</v>
      </c>
      <c r="AV29" s="233">
        <f t="shared" si="5"/>
        <v>0</v>
      </c>
    </row>
    <row r="30" spans="1:49" s="62" customFormat="1" ht="24" hidden="1" customHeight="1">
      <c r="A30" s="59"/>
      <c r="B30" s="60"/>
      <c r="C30" s="60"/>
      <c r="D30" s="22"/>
      <c r="E30" s="79"/>
      <c r="F30" s="51" t="s">
        <v>43</v>
      </c>
      <c r="G30" s="275" t="s">
        <v>163</v>
      </c>
      <c r="H30" s="115"/>
      <c r="I30" s="115"/>
      <c r="J30" s="115"/>
      <c r="K30" s="115"/>
      <c r="L30" s="276"/>
      <c r="M30" s="277"/>
      <c r="N30" s="276"/>
      <c r="O30" s="115"/>
      <c r="P30" s="276"/>
      <c r="Q30" s="115"/>
      <c r="R30" s="276"/>
      <c r="S30" s="115"/>
      <c r="T30" s="276"/>
      <c r="U30" s="278"/>
      <c r="V30" s="115"/>
      <c r="W30" s="114"/>
      <c r="X30" s="115"/>
      <c r="Y30" s="221"/>
      <c r="Z30" s="115"/>
      <c r="AA30" s="115"/>
      <c r="AB30" s="35"/>
      <c r="AC30" s="170"/>
      <c r="AD30" s="208"/>
      <c r="AE30" s="170"/>
      <c r="AF30" s="208"/>
      <c r="AG30" s="170"/>
      <c r="AH30" s="208"/>
      <c r="AI30" s="170"/>
      <c r="AJ30" s="233"/>
      <c r="AK30" s="170"/>
      <c r="AL30" s="270"/>
      <c r="AM30" s="170"/>
      <c r="AN30" s="270"/>
      <c r="AO30" s="170"/>
      <c r="AP30" s="233"/>
      <c r="AQ30" s="233"/>
      <c r="AR30" s="170"/>
      <c r="AS30" s="170"/>
      <c r="AT30" s="233">
        <f>15-15</f>
        <v>0</v>
      </c>
      <c r="AU30" s="386"/>
      <c r="AV30" s="233">
        <f t="shared" si="5"/>
        <v>0</v>
      </c>
    </row>
    <row r="31" spans="1:49" s="62" customFormat="1" ht="24" hidden="1" customHeight="1">
      <c r="A31" s="59"/>
      <c r="B31" s="60"/>
      <c r="C31" s="60"/>
      <c r="D31" s="22"/>
      <c r="E31" s="79"/>
      <c r="F31" s="51" t="s">
        <v>43</v>
      </c>
      <c r="G31" s="275" t="s">
        <v>163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243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/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v>0</v>
      </c>
      <c r="AU31" s="386"/>
      <c r="AV31" s="233">
        <f t="shared" si="5"/>
        <v>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260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50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50</v>
      </c>
      <c r="AU32" s="228"/>
      <c r="AV32" s="279">
        <f t="shared" si="5"/>
        <v>50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261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60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40</v>
      </c>
      <c r="AU33" s="228"/>
      <c r="AV33" s="279">
        <f t="shared" si="5"/>
        <v>40</v>
      </c>
    </row>
    <row r="34" spans="1:49" s="62" customFormat="1" ht="26.25" customHeight="1">
      <c r="A34" s="59"/>
      <c r="B34" s="60"/>
      <c r="C34" s="60"/>
      <c r="D34" s="22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282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45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45</v>
      </c>
      <c r="AU34" s="228"/>
      <c r="AV34" s="279">
        <f t="shared" si="5"/>
        <v>45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hidden="1" customHeight="1">
      <c r="A38" s="59"/>
      <c r="B38" s="60"/>
      <c r="C38" s="60"/>
      <c r="D38" s="22"/>
      <c r="E38" s="79"/>
      <c r="F38" s="51" t="s">
        <v>44</v>
      </c>
      <c r="G38" s="275" t="s">
        <v>116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/>
      <c r="V38" s="115"/>
      <c r="W38" s="114"/>
      <c r="X38" s="115"/>
      <c r="Y38" s="221"/>
      <c r="Z38" s="115"/>
      <c r="AA38" s="221"/>
      <c r="AB38" s="22"/>
      <c r="AC38" s="170"/>
      <c r="AD38" s="208"/>
      <c r="AE38" s="170"/>
      <c r="AF38" s="208"/>
      <c r="AG38" s="170"/>
      <c r="AH38" s="208"/>
      <c r="AI38" s="170"/>
      <c r="AJ38" s="233"/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v>0</v>
      </c>
      <c r="AU38" s="386"/>
      <c r="AV38" s="233">
        <v>0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hidden="1" customHeight="1">
      <c r="A44" s="59"/>
      <c r="B44" s="60"/>
      <c r="C44" s="60"/>
      <c r="D44" s="22"/>
      <c r="E44" s="79" t="s">
        <v>24</v>
      </c>
      <c r="F44" s="51" t="s">
        <v>65</v>
      </c>
      <c r="G44" s="275" t="s">
        <v>111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132</v>
      </c>
      <c r="V44" s="115">
        <v>234</v>
      </c>
      <c r="W44" s="114">
        <v>43143</v>
      </c>
      <c r="X44" s="115" t="s">
        <v>143</v>
      </c>
      <c r="Y44" s="221">
        <v>43164</v>
      </c>
      <c r="Z44" s="115"/>
      <c r="AA44" s="115"/>
      <c r="AB44" s="22">
        <v>0</v>
      </c>
      <c r="AC44" s="170">
        <v>0</v>
      </c>
      <c r="AD44" s="208">
        <v>15</v>
      </c>
      <c r="AE44" s="170">
        <v>3032.7</v>
      </c>
      <c r="AF44" s="208"/>
      <c r="AG44" s="170"/>
      <c r="AH44" s="208"/>
      <c r="AI44" s="170"/>
      <c r="AJ44" s="233"/>
      <c r="AK44" s="170">
        <f t="shared" si="6"/>
        <v>3032.7</v>
      </c>
      <c r="AL44" s="270">
        <v>0</v>
      </c>
      <c r="AM44" s="170">
        <v>0</v>
      </c>
      <c r="AN44" s="270">
        <v>15</v>
      </c>
      <c r="AO44" s="170">
        <f t="shared" si="2"/>
        <v>3032.7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v>0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hidden="1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hidden="1" customHeight="1">
      <c r="A48" s="59"/>
      <c r="B48" s="60"/>
      <c r="C48" s="60"/>
      <c r="D48" s="22"/>
      <c r="E48" s="79" t="s">
        <v>24</v>
      </c>
      <c r="F48" s="51" t="s">
        <v>65</v>
      </c>
      <c r="G48" s="275" t="s">
        <v>111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124</v>
      </c>
      <c r="V48" s="115">
        <v>135</v>
      </c>
      <c r="W48" s="114">
        <v>42761</v>
      </c>
      <c r="X48" s="115" t="s">
        <v>126</v>
      </c>
      <c r="Y48" s="221">
        <v>43130</v>
      </c>
      <c r="Z48" s="115"/>
      <c r="AA48" s="115"/>
      <c r="AB48" s="22">
        <v>0</v>
      </c>
      <c r="AC48" s="170">
        <v>0</v>
      </c>
      <c r="AD48" s="208">
        <v>155</v>
      </c>
      <c r="AE48" s="170">
        <v>31337.9</v>
      </c>
      <c r="AF48" s="208"/>
      <c r="AG48" s="170"/>
      <c r="AH48" s="208"/>
      <c r="AI48" s="170"/>
      <c r="AJ48" s="233"/>
      <c r="AK48" s="170">
        <f t="shared" si="6"/>
        <v>31337.9</v>
      </c>
      <c r="AL48" s="270">
        <v>0</v>
      </c>
      <c r="AM48" s="170">
        <v>0</v>
      </c>
      <c r="AN48" s="270">
        <v>155</v>
      </c>
      <c r="AO48" s="170">
        <f t="shared" si="2"/>
        <v>31337.9</v>
      </c>
      <c r="AP48" s="233"/>
      <c r="AQ48" s="233"/>
      <c r="AR48" s="170">
        <v>202.18</v>
      </c>
      <c r="AS48" s="170">
        <f t="shared" si="3"/>
        <v>0</v>
      </c>
      <c r="AT48" s="233">
        <f>155-155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205</v>
      </c>
      <c r="AU49" s="249">
        <f t="shared" si="4"/>
        <v>41446.9</v>
      </c>
      <c r="AV49" s="247">
        <f t="shared" si="5"/>
        <v>205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hidden="1" customHeight="1">
      <c r="A52" s="59"/>
      <c r="B52" s="60"/>
      <c r="C52" s="60"/>
      <c r="D52" s="22"/>
      <c r="E52" s="79" t="s">
        <v>24</v>
      </c>
      <c r="F52" s="51" t="s">
        <v>65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175</v>
      </c>
      <c r="V52" s="115">
        <v>1006</v>
      </c>
      <c r="W52" s="114">
        <v>43244</v>
      </c>
      <c r="X52" s="115" t="s">
        <v>179</v>
      </c>
      <c r="Y52" s="221">
        <v>43285</v>
      </c>
      <c r="Z52" s="115"/>
      <c r="AA52" s="115"/>
      <c r="AB52" s="22">
        <v>0</v>
      </c>
      <c r="AC52" s="170">
        <v>0</v>
      </c>
      <c r="AD52" s="208">
        <v>45</v>
      </c>
      <c r="AE52" s="170">
        <v>8820</v>
      </c>
      <c r="AF52" s="208"/>
      <c r="AG52" s="170"/>
      <c r="AH52" s="208"/>
      <c r="AI52" s="170"/>
      <c r="AJ52" s="233"/>
      <c r="AK52" s="170">
        <f t="shared" si="6"/>
        <v>8820</v>
      </c>
      <c r="AL52" s="270">
        <v>0</v>
      </c>
      <c r="AM52" s="170">
        <v>0</v>
      </c>
      <c r="AN52" s="270">
        <v>45</v>
      </c>
      <c r="AO52" s="170">
        <f t="shared" si="2"/>
        <v>8820</v>
      </c>
      <c r="AP52" s="233"/>
      <c r="AQ52" s="233"/>
      <c r="AR52" s="170">
        <v>196</v>
      </c>
      <c r="AS52" s="170">
        <f t="shared" si="3"/>
        <v>0</v>
      </c>
      <c r="AT52" s="233">
        <f>45-45</f>
        <v>0</v>
      </c>
      <c r="AU52" s="386">
        <f t="shared" si="4"/>
        <v>0</v>
      </c>
      <c r="AV52" s="233">
        <f t="shared" si="5"/>
        <v>0</v>
      </c>
    </row>
    <row r="53" spans="1:48" s="62" customFormat="1" ht="26.25" hidden="1" customHeight="1">
      <c r="A53" s="59"/>
      <c r="B53" s="60"/>
      <c r="C53" s="60"/>
      <c r="D53" s="22"/>
      <c r="E53" s="79" t="s">
        <v>24</v>
      </c>
      <c r="F53" s="51" t="s">
        <v>65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175</v>
      </c>
      <c r="V53" s="115">
        <v>1006</v>
      </c>
      <c r="W53" s="114">
        <v>43244</v>
      </c>
      <c r="X53" s="115" t="s">
        <v>179</v>
      </c>
      <c r="Y53" s="221">
        <v>43285</v>
      </c>
      <c r="Z53" s="115"/>
      <c r="AA53" s="115"/>
      <c r="AB53" s="22">
        <v>0</v>
      </c>
      <c r="AC53" s="170">
        <v>0</v>
      </c>
      <c r="AD53" s="208">
        <v>55</v>
      </c>
      <c r="AE53" s="170">
        <v>11119.9</v>
      </c>
      <c r="AF53" s="208"/>
      <c r="AG53" s="170"/>
      <c r="AH53" s="208"/>
      <c r="AI53" s="170"/>
      <c r="AJ53" s="233"/>
      <c r="AK53" s="170">
        <f t="shared" si="6"/>
        <v>11119.9</v>
      </c>
      <c r="AL53" s="270">
        <v>0</v>
      </c>
      <c r="AM53" s="170">
        <v>0</v>
      </c>
      <c r="AN53" s="270">
        <v>55</v>
      </c>
      <c r="AO53" s="170">
        <f t="shared" si="2"/>
        <v>11119.9</v>
      </c>
      <c r="AP53" s="233"/>
      <c r="AQ53" s="233"/>
      <c r="AR53" s="170">
        <v>202.18</v>
      </c>
      <c r="AS53" s="170">
        <f t="shared" si="3"/>
        <v>0</v>
      </c>
      <c r="AT53" s="233">
        <f>55-55</f>
        <v>0</v>
      </c>
      <c r="AU53" s="386">
        <f t="shared" si="4"/>
        <v>0</v>
      </c>
      <c r="AV53" s="233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>AT69</f>
        <v>36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262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234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234</v>
      </c>
      <c r="AU70" s="386"/>
      <c r="AV70" s="279">
        <f t="shared" si="5"/>
        <v>234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14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14</v>
      </c>
      <c r="AU71" s="386"/>
      <c r="AV71" s="279">
        <f t="shared" si="5"/>
        <v>14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166</v>
      </c>
      <c r="AU79" s="228"/>
      <c r="AV79" s="279">
        <f t="shared" si="5"/>
        <v>166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350</v>
      </c>
      <c r="AC90" s="171">
        <f>SUM(AC17:AC63)</f>
        <v>190344.16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3988</v>
      </c>
      <c r="AK90" s="175">
        <f t="shared" si="14"/>
        <v>1221314.8600000001</v>
      </c>
      <c r="AL90" s="213">
        <f t="shared" si="14"/>
        <v>847</v>
      </c>
      <c r="AM90" s="214">
        <f t="shared" si="14"/>
        <v>232006.65000000002</v>
      </c>
      <c r="AN90" s="218">
        <f t="shared" si="14"/>
        <v>4954</v>
      </c>
      <c r="AO90" s="219">
        <f t="shared" si="14"/>
        <v>1163059.4400000002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6589</v>
      </c>
      <c r="AU90" s="228">
        <f>SUM(AU17:AU89)</f>
        <v>692725.49</v>
      </c>
      <c r="AV90" s="510">
        <f>SUM(AV17:AV89)</f>
        <v>6589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62"/>
      <c r="AR98" s="255"/>
      <c r="AS98" s="255"/>
      <c r="AT98" s="562"/>
      <c r="AU98" s="562"/>
      <c r="AV98" s="562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62"/>
      <c r="AR99" s="255"/>
      <c r="AS99" s="255"/>
      <c r="AT99" s="562"/>
      <c r="AU99" s="562"/>
      <c r="AV99" s="562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99"/>
  <sheetViews>
    <sheetView view="pageBreakPreview" topLeftCell="C22" zoomScale="70" zoomScaleSheetLayoutView="70" workbookViewId="0">
      <selection activeCell="AT30" sqref="AT30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62"/>
      <c r="AR1" s="255"/>
      <c r="AS1" s="255"/>
      <c r="AT1" s="562"/>
      <c r="AU1" s="562"/>
      <c r="AV1" s="56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6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6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304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62"/>
      <c r="AR12" s="255"/>
      <c r="AS12" s="255"/>
      <c r="AT12" s="563"/>
      <c r="AU12" s="563"/>
      <c r="AV12" s="56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305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63"/>
      <c r="D16" s="748"/>
      <c r="E16" s="685"/>
      <c r="F16" s="685"/>
      <c r="G16" s="202"/>
      <c r="H16" s="201"/>
      <c r="I16" s="201"/>
      <c r="J16" s="241"/>
      <c r="K16" s="241"/>
      <c r="L16" s="241"/>
      <c r="M16" s="561" t="s">
        <v>77</v>
      </c>
      <c r="N16" s="561" t="s">
        <v>78</v>
      </c>
      <c r="O16" s="561" t="s">
        <v>77</v>
      </c>
      <c r="P16" s="561" t="s">
        <v>78</v>
      </c>
      <c r="Q16" s="561" t="s">
        <v>77</v>
      </c>
      <c r="R16" s="561" t="s">
        <v>78</v>
      </c>
      <c r="S16" s="561" t="s">
        <v>77</v>
      </c>
      <c r="T16" s="56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60" t="s">
        <v>77</v>
      </c>
      <c r="AE16" s="560" t="s">
        <v>78</v>
      </c>
      <c r="AF16" s="205" t="s">
        <v>77</v>
      </c>
      <c r="AG16" s="205" t="s">
        <v>78</v>
      </c>
      <c r="AH16" s="560" t="s">
        <v>77</v>
      </c>
      <c r="AI16" s="560" t="s">
        <v>78</v>
      </c>
      <c r="AJ16" s="207" t="s">
        <v>96</v>
      </c>
      <c r="AK16" s="96" t="s">
        <v>19</v>
      </c>
      <c r="AL16" s="558" t="s">
        <v>96</v>
      </c>
      <c r="AM16" s="558" t="s">
        <v>19</v>
      </c>
      <c r="AN16" s="216" t="s">
        <v>96</v>
      </c>
      <c r="AO16" s="216" t="s">
        <v>19</v>
      </c>
      <c r="AP16" s="207" t="s">
        <v>96</v>
      </c>
      <c r="AQ16" s="558" t="s">
        <v>96</v>
      </c>
      <c r="AR16" s="558" t="s">
        <v>107</v>
      </c>
      <c r="AS16" s="558" t="s">
        <v>19</v>
      </c>
      <c r="AT16" s="559" t="s">
        <v>96</v>
      </c>
      <c r="AU16" s="559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3" si="0">J18*K18</f>
        <v>0</v>
      </c>
      <c r="N18" s="243">
        <f t="shared" ref="N18:N83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3" si="2">AC18+AK18-AM18</f>
        <v>1026.1600000000001</v>
      </c>
      <c r="AP18" s="232"/>
      <c r="AQ18" s="229"/>
      <c r="AR18" s="212">
        <v>1026.1600000000001</v>
      </c>
      <c r="AS18" s="212">
        <f t="shared" ref="AS18:AS87" si="3">AQ18*AR18</f>
        <v>0</v>
      </c>
      <c r="AT18" s="247">
        <v>1</v>
      </c>
      <c r="AU18" s="228">
        <f t="shared" ref="AU18:AU87" si="4">AT18*AR18</f>
        <v>1026.1600000000001</v>
      </c>
      <c r="AV18" s="247">
        <f t="shared" ref="AV18:AV87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88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5.5">
      <c r="A24" s="59"/>
      <c r="B24" s="60"/>
      <c r="C24" s="60"/>
      <c r="D24" s="22"/>
      <c r="E24" s="79" t="s">
        <v>27</v>
      </c>
      <c r="F24" s="155" t="s">
        <v>32</v>
      </c>
      <c r="G24" s="222" t="s">
        <v>129</v>
      </c>
      <c r="H24" s="193" t="s">
        <v>91</v>
      </c>
      <c r="I24" s="193" t="s">
        <v>91</v>
      </c>
      <c r="J24" s="193"/>
      <c r="K24" s="193"/>
      <c r="L24" s="243"/>
      <c r="M24" s="242">
        <f t="shared" si="0"/>
        <v>0</v>
      </c>
      <c r="N24" s="243">
        <f t="shared" si="1"/>
        <v>0</v>
      </c>
      <c r="O24" s="193"/>
      <c r="P24" s="243"/>
      <c r="Q24" s="193"/>
      <c r="R24" s="243"/>
      <c r="S24" s="193"/>
      <c r="T24" s="243"/>
      <c r="U24" s="203" t="s">
        <v>93</v>
      </c>
      <c r="V24" s="55">
        <v>833</v>
      </c>
      <c r="W24" s="54">
        <v>42347</v>
      </c>
      <c r="X24" s="192">
        <v>1</v>
      </c>
      <c r="Y24" s="199">
        <v>42430</v>
      </c>
      <c r="Z24" s="192"/>
      <c r="AA24" s="192"/>
      <c r="AB24" s="35">
        <v>6</v>
      </c>
      <c r="AC24" s="170">
        <v>4721.3999999999996</v>
      </c>
      <c r="AD24" s="209"/>
      <c r="AE24" s="194"/>
      <c r="AF24" s="209"/>
      <c r="AG24" s="194"/>
      <c r="AH24" s="209"/>
      <c r="AI24" s="194"/>
      <c r="AJ24" s="232"/>
      <c r="AK24" s="170">
        <f t="shared" si="6"/>
        <v>0</v>
      </c>
      <c r="AL24" s="272">
        <f>1</f>
        <v>1</v>
      </c>
      <c r="AM24" s="212">
        <f>786.9</f>
        <v>786.9</v>
      </c>
      <c r="AN24" s="269">
        <v>5</v>
      </c>
      <c r="AO24" s="217">
        <f>AN24*AR24</f>
        <v>3934.5</v>
      </c>
      <c r="AP24" s="232"/>
      <c r="AQ24" s="229"/>
      <c r="AR24" s="212">
        <v>786.9</v>
      </c>
      <c r="AS24" s="212">
        <f t="shared" si="3"/>
        <v>0</v>
      </c>
      <c r="AT24" s="227">
        <f>5-1-1-2</f>
        <v>1</v>
      </c>
      <c r="AU24" s="228">
        <f t="shared" si="4"/>
        <v>786.9</v>
      </c>
      <c r="AV24" s="279">
        <f t="shared" si="5"/>
        <v>1</v>
      </c>
    </row>
    <row r="25" spans="1:49" s="62" customFormat="1" ht="24.75" customHeight="1">
      <c r="A25" s="59"/>
      <c r="B25" s="60"/>
      <c r="C25" s="60"/>
      <c r="D25" s="22"/>
      <c r="E25" s="79" t="s">
        <v>24</v>
      </c>
      <c r="F25" s="161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267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2">
        <v>2</v>
      </c>
      <c r="AK25" s="170">
        <f t="shared" si="6"/>
        <v>5571.2</v>
      </c>
      <c r="AL25" s="272">
        <v>0</v>
      </c>
      <c r="AM25" s="212">
        <v>0</v>
      </c>
      <c r="AN25" s="269"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27">
        <v>2</v>
      </c>
      <c r="AU25" s="228">
        <f t="shared" si="4"/>
        <v>278.56</v>
      </c>
      <c r="AV25" s="279">
        <f t="shared" si="5"/>
        <v>2</v>
      </c>
    </row>
    <row r="26" spans="1:49" s="62" customFormat="1" ht="24.75" customHeight="1">
      <c r="A26" s="59"/>
      <c r="B26" s="60"/>
      <c r="C26" s="60"/>
      <c r="D26" s="22"/>
      <c r="E26" s="79"/>
      <c r="F26" s="161" t="s">
        <v>41</v>
      </c>
      <c r="G26" s="222" t="s">
        <v>166</v>
      </c>
      <c r="H26" s="193"/>
      <c r="I26" s="193"/>
      <c r="J26" s="193"/>
      <c r="K26" s="193"/>
      <c r="L26" s="243"/>
      <c r="M26" s="242"/>
      <c r="N26" s="243"/>
      <c r="O26" s="193"/>
      <c r="P26" s="243"/>
      <c r="Q26" s="193"/>
      <c r="R26" s="243"/>
      <c r="S26" s="193"/>
      <c r="T26" s="243"/>
      <c r="U26" s="203" t="s">
        <v>267</v>
      </c>
      <c r="V26" s="115"/>
      <c r="W26" s="114"/>
      <c r="X26" s="193"/>
      <c r="Y26" s="200"/>
      <c r="Z26" s="193"/>
      <c r="AA26" s="193"/>
      <c r="AB26" s="35"/>
      <c r="AC26" s="170"/>
      <c r="AD26" s="209"/>
      <c r="AE26" s="194"/>
      <c r="AF26" s="209"/>
      <c r="AG26" s="194"/>
      <c r="AH26" s="209"/>
      <c r="AI26" s="194"/>
      <c r="AJ26" s="232">
        <v>46</v>
      </c>
      <c r="AK26" s="170"/>
      <c r="AL26" s="272"/>
      <c r="AM26" s="212"/>
      <c r="AN26" s="269"/>
      <c r="AO26" s="217"/>
      <c r="AP26" s="232"/>
      <c r="AQ26" s="229"/>
      <c r="AR26" s="212"/>
      <c r="AS26" s="212"/>
      <c r="AT26" s="227">
        <v>46</v>
      </c>
      <c r="AU26" s="228"/>
      <c r="AV26" s="279">
        <f t="shared" si="5"/>
        <v>46</v>
      </c>
    </row>
    <row r="27" spans="1:49" s="62" customFormat="1" ht="24.75" customHeight="1">
      <c r="A27" s="59"/>
      <c r="B27" s="60"/>
      <c r="C27" s="427"/>
      <c r="D27" s="428"/>
      <c r="E27" s="79"/>
      <c r="F27" s="161" t="s">
        <v>41</v>
      </c>
      <c r="G27" s="222" t="s">
        <v>166</v>
      </c>
      <c r="H27" s="161" t="s">
        <v>41</v>
      </c>
      <c r="I27" s="222" t="s">
        <v>166</v>
      </c>
      <c r="J27" s="161" t="s">
        <v>41</v>
      </c>
      <c r="K27" s="222" t="s">
        <v>166</v>
      </c>
      <c r="L27" s="161" t="s">
        <v>41</v>
      </c>
      <c r="M27" s="222" t="s">
        <v>166</v>
      </c>
      <c r="N27" s="161" t="s">
        <v>41</v>
      </c>
      <c r="O27" s="222" t="s">
        <v>166</v>
      </c>
      <c r="P27" s="161" t="s">
        <v>41</v>
      </c>
      <c r="Q27" s="222" t="s">
        <v>166</v>
      </c>
      <c r="R27" s="161" t="s">
        <v>41</v>
      </c>
      <c r="S27" s="222" t="s">
        <v>166</v>
      </c>
      <c r="T27" s="161" t="s">
        <v>41</v>
      </c>
      <c r="U27" s="203" t="s">
        <v>306</v>
      </c>
      <c r="V27" s="115"/>
      <c r="W27" s="114"/>
      <c r="X27" s="193"/>
      <c r="Y27" s="200"/>
      <c r="Z27" s="193"/>
      <c r="AA27" s="193"/>
      <c r="AB27" s="35"/>
      <c r="AC27" s="170"/>
      <c r="AD27" s="209"/>
      <c r="AE27" s="194"/>
      <c r="AF27" s="209"/>
      <c r="AG27" s="194"/>
      <c r="AH27" s="209"/>
      <c r="AI27" s="194"/>
      <c r="AJ27" s="232">
        <v>482</v>
      </c>
      <c r="AK27" s="170"/>
      <c r="AL27" s="272"/>
      <c r="AM27" s="212"/>
      <c r="AN27" s="269"/>
      <c r="AO27" s="217"/>
      <c r="AP27" s="232"/>
      <c r="AQ27" s="229"/>
      <c r="AR27" s="212"/>
      <c r="AS27" s="212"/>
      <c r="AT27" s="227">
        <v>482</v>
      </c>
      <c r="AU27" s="228"/>
      <c r="AV27" s="279">
        <f t="shared" si="5"/>
        <v>482</v>
      </c>
    </row>
    <row r="28" spans="1:49" s="62" customFormat="1" ht="31.5">
      <c r="A28" s="59"/>
      <c r="B28" s="60"/>
      <c r="C28" s="60"/>
      <c r="D28" s="22"/>
      <c r="E28" s="79" t="s">
        <v>24</v>
      </c>
      <c r="F28" s="179" t="s">
        <v>53</v>
      </c>
      <c r="G28" s="222" t="s">
        <v>168</v>
      </c>
      <c r="H28" s="193" t="s">
        <v>91</v>
      </c>
      <c r="I28" s="193" t="s">
        <v>91</v>
      </c>
      <c r="J28" s="193">
        <v>360</v>
      </c>
      <c r="K28" s="193">
        <v>2</v>
      </c>
      <c r="L28" s="243">
        <v>533.03</v>
      </c>
      <c r="M28" s="242">
        <f>J28*K28</f>
        <v>720</v>
      </c>
      <c r="N28" s="243">
        <f>L28*M28</f>
        <v>383781.6</v>
      </c>
      <c r="O28" s="193">
        <v>180</v>
      </c>
      <c r="P28" s="243">
        <v>87354</v>
      </c>
      <c r="Q28" s="193">
        <v>720</v>
      </c>
      <c r="R28" s="243">
        <v>475977.6</v>
      </c>
      <c r="S28" s="193">
        <v>420</v>
      </c>
      <c r="T28" s="243">
        <v>223872.6</v>
      </c>
      <c r="U28" s="203" t="s">
        <v>268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35">
        <v>0</v>
      </c>
      <c r="AC28" s="170">
        <v>0</v>
      </c>
      <c r="AD28" s="209">
        <v>39</v>
      </c>
      <c r="AE28" s="194">
        <v>20468.37</v>
      </c>
      <c r="AF28" s="209"/>
      <c r="AG28" s="194"/>
      <c r="AH28" s="209"/>
      <c r="AI28" s="194"/>
      <c r="AJ28" s="232">
        <v>2</v>
      </c>
      <c r="AK28" s="170">
        <f t="shared" si="6"/>
        <v>20468.37</v>
      </c>
      <c r="AL28" s="272">
        <v>0</v>
      </c>
      <c r="AM28" s="212">
        <v>0</v>
      </c>
      <c r="AN28" s="269">
        <v>39</v>
      </c>
      <c r="AO28" s="217">
        <f t="shared" si="2"/>
        <v>20468.37</v>
      </c>
      <c r="AP28" s="232"/>
      <c r="AQ28" s="229"/>
      <c r="AR28" s="212">
        <v>524.83000000000004</v>
      </c>
      <c r="AS28" s="212">
        <f t="shared" si="3"/>
        <v>0</v>
      </c>
      <c r="AT28" s="227">
        <v>2</v>
      </c>
      <c r="AU28" s="228">
        <f t="shared" si="4"/>
        <v>1049.6600000000001</v>
      </c>
      <c r="AV28" s="279">
        <f t="shared" si="5"/>
        <v>2</v>
      </c>
    </row>
    <row r="29" spans="1:49" s="62" customFormat="1" ht="31.5">
      <c r="A29" s="59"/>
      <c r="B29" s="60"/>
      <c r="C29" s="60"/>
      <c r="D29" s="22"/>
      <c r="E29" s="79"/>
      <c r="F29" s="179" t="s">
        <v>53</v>
      </c>
      <c r="G29" s="222" t="s">
        <v>168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 t="s">
        <v>268</v>
      </c>
      <c r="V29" s="115"/>
      <c r="W29" s="114"/>
      <c r="X29" s="193"/>
      <c r="Y29" s="200"/>
      <c r="Z29" s="193"/>
      <c r="AA29" s="193"/>
      <c r="AB29" s="35"/>
      <c r="AC29" s="170"/>
      <c r="AD29" s="209"/>
      <c r="AE29" s="194"/>
      <c r="AF29" s="209"/>
      <c r="AG29" s="194"/>
      <c r="AH29" s="209"/>
      <c r="AI29" s="194"/>
      <c r="AJ29" s="232">
        <v>46</v>
      </c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46</v>
      </c>
      <c r="AU29" s="228"/>
      <c r="AV29" s="279">
        <f t="shared" si="5"/>
        <v>46</v>
      </c>
    </row>
    <row r="30" spans="1:49" s="62" customFormat="1" ht="31.5">
      <c r="A30" s="59"/>
      <c r="B30" s="60"/>
      <c r="C30" s="427"/>
      <c r="D30" s="428"/>
      <c r="E30" s="79"/>
      <c r="F30" s="179" t="s">
        <v>53</v>
      </c>
      <c r="G30" s="222" t="s">
        <v>168</v>
      </c>
      <c r="H30" s="193"/>
      <c r="I30" s="193"/>
      <c r="J30" s="193"/>
      <c r="K30" s="193"/>
      <c r="L30" s="243"/>
      <c r="M30" s="242"/>
      <c r="N30" s="243"/>
      <c r="O30" s="193"/>
      <c r="P30" s="243"/>
      <c r="Q30" s="193"/>
      <c r="R30" s="243"/>
      <c r="S30" s="193"/>
      <c r="T30" s="243"/>
      <c r="U30" s="203" t="s">
        <v>307</v>
      </c>
      <c r="V30" s="115"/>
      <c r="W30" s="114"/>
      <c r="X30" s="193"/>
      <c r="Y30" s="200"/>
      <c r="Z30" s="193"/>
      <c r="AA30" s="193"/>
      <c r="AB30" s="35"/>
      <c r="AC30" s="170"/>
      <c r="AD30" s="209"/>
      <c r="AE30" s="194"/>
      <c r="AF30" s="209"/>
      <c r="AG30" s="194"/>
      <c r="AH30" s="209"/>
      <c r="AI30" s="194"/>
      <c r="AJ30" s="232">
        <v>482</v>
      </c>
      <c r="AK30" s="170"/>
      <c r="AL30" s="272"/>
      <c r="AM30" s="212"/>
      <c r="AN30" s="269"/>
      <c r="AO30" s="217"/>
      <c r="AP30" s="232"/>
      <c r="AQ30" s="229"/>
      <c r="AR30" s="212"/>
      <c r="AS30" s="212"/>
      <c r="AT30" s="227">
        <v>482</v>
      </c>
      <c r="AU30" s="228"/>
      <c r="AV30" s="279">
        <f t="shared" si="5"/>
        <v>482</v>
      </c>
    </row>
    <row r="31" spans="1:49" s="62" customFormat="1" ht="26.25" customHeight="1">
      <c r="A31" s="59"/>
      <c r="B31" s="60"/>
      <c r="C31" s="60"/>
      <c r="D31" s="22"/>
      <c r="E31" s="79"/>
      <c r="F31" s="162" t="s">
        <v>43</v>
      </c>
      <c r="G31" s="222" t="s">
        <v>163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260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50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50</v>
      </c>
      <c r="AU31" s="228"/>
      <c r="AV31" s="279">
        <f t="shared" si="5"/>
        <v>50</v>
      </c>
    </row>
    <row r="32" spans="1:49" s="62" customFormat="1" ht="26.25" customHeight="1">
      <c r="A32" s="59"/>
      <c r="B32" s="60"/>
      <c r="C32" s="60"/>
      <c r="D32" s="22"/>
      <c r="E32" s="79"/>
      <c r="F32" s="162" t="s">
        <v>43</v>
      </c>
      <c r="G32" s="222" t="s">
        <v>163</v>
      </c>
      <c r="H32" s="193"/>
      <c r="I32" s="193"/>
      <c r="J32" s="193"/>
      <c r="K32" s="193"/>
      <c r="L32" s="243"/>
      <c r="M32" s="242"/>
      <c r="N32" s="243"/>
      <c r="O32" s="193"/>
      <c r="P32" s="243"/>
      <c r="Q32" s="193"/>
      <c r="R32" s="243"/>
      <c r="S32" s="193"/>
      <c r="T32" s="243"/>
      <c r="U32" s="203" t="s">
        <v>261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60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40</v>
      </c>
      <c r="AU32" s="228"/>
      <c r="AV32" s="279">
        <f t="shared" si="5"/>
        <v>40</v>
      </c>
    </row>
    <row r="33" spans="1:49" s="62" customFormat="1" ht="26.25" customHeight="1">
      <c r="A33" s="59"/>
      <c r="B33" s="60"/>
      <c r="C33" s="60"/>
      <c r="D33" s="22"/>
      <c r="E33" s="79"/>
      <c r="F33" s="162" t="s">
        <v>43</v>
      </c>
      <c r="G33" s="222" t="s">
        <v>163</v>
      </c>
      <c r="H33" s="193"/>
      <c r="I33" s="193"/>
      <c r="J33" s="193"/>
      <c r="K33" s="193"/>
      <c r="L33" s="243"/>
      <c r="M33" s="242"/>
      <c r="N33" s="243"/>
      <c r="O33" s="193"/>
      <c r="P33" s="243"/>
      <c r="Q33" s="193"/>
      <c r="R33" s="243"/>
      <c r="S33" s="193"/>
      <c r="T33" s="243"/>
      <c r="U33" s="203" t="s">
        <v>282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45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45</v>
      </c>
      <c r="AU33" s="228"/>
      <c r="AV33" s="279">
        <f t="shared" si="5"/>
        <v>45</v>
      </c>
    </row>
    <row r="34" spans="1:49" s="62" customFormat="1" ht="26.25" customHeight="1">
      <c r="A34" s="59"/>
      <c r="B34" s="60"/>
      <c r="C34" s="427"/>
      <c r="D34" s="428"/>
      <c r="E34" s="79"/>
      <c r="F34" s="162" t="s">
        <v>43</v>
      </c>
      <c r="G34" s="222" t="s">
        <v>163</v>
      </c>
      <c r="H34" s="193"/>
      <c r="I34" s="193"/>
      <c r="J34" s="193"/>
      <c r="K34" s="193"/>
      <c r="L34" s="243"/>
      <c r="M34" s="242"/>
      <c r="N34" s="243"/>
      <c r="O34" s="193"/>
      <c r="P34" s="243"/>
      <c r="Q34" s="193"/>
      <c r="R34" s="243"/>
      <c r="S34" s="193"/>
      <c r="T34" s="243"/>
      <c r="U34" s="203" t="s">
        <v>308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25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25</v>
      </c>
      <c r="AU34" s="228"/>
      <c r="AV34" s="279">
        <f t="shared" si="5"/>
        <v>25</v>
      </c>
    </row>
    <row r="35" spans="1:49" s="62" customFormat="1" ht="24" customHeight="1">
      <c r="A35" s="59"/>
      <c r="B35" s="60"/>
      <c r="C35" s="60"/>
      <c r="D35" s="22"/>
      <c r="E35" s="79" t="s">
        <v>24</v>
      </c>
      <c r="F35" s="485" t="s">
        <v>269</v>
      </c>
      <c r="G35" s="222" t="s">
        <v>152</v>
      </c>
      <c r="H35" s="115" t="s">
        <v>91</v>
      </c>
      <c r="I35" s="115" t="s">
        <v>91</v>
      </c>
      <c r="J35" s="115"/>
      <c r="K35" s="115"/>
      <c r="L35" s="276"/>
      <c r="M35" s="277">
        <f>J35*K35</f>
        <v>0</v>
      </c>
      <c r="N35" s="276">
        <f>L35*M35</f>
        <v>0</v>
      </c>
      <c r="O35" s="115"/>
      <c r="P35" s="276"/>
      <c r="Q35" s="115"/>
      <c r="R35" s="276"/>
      <c r="S35" s="115"/>
      <c r="T35" s="276"/>
      <c r="U35" s="203" t="s">
        <v>265</v>
      </c>
      <c r="V35" s="115">
        <v>1405</v>
      </c>
      <c r="W35" s="114">
        <v>43052</v>
      </c>
      <c r="X35" s="115"/>
      <c r="Y35" s="115"/>
      <c r="Z35" s="115"/>
      <c r="AA35" s="115"/>
      <c r="AB35" s="35">
        <v>120</v>
      </c>
      <c r="AC35" s="170">
        <v>58734</v>
      </c>
      <c r="AD35" s="208"/>
      <c r="AE35" s="170"/>
      <c r="AF35" s="208"/>
      <c r="AG35" s="170"/>
      <c r="AH35" s="208"/>
      <c r="AI35" s="170"/>
      <c r="AJ35" s="232">
        <v>140</v>
      </c>
      <c r="AK35" s="170">
        <f>AE35+AG35+AI35</f>
        <v>0</v>
      </c>
      <c r="AL35" s="270">
        <f>15+30+10+25+20+20</f>
        <v>120</v>
      </c>
      <c r="AM35" s="170">
        <f>7341.75+14683.5+4894.5+12236.25+9789</f>
        <v>48945</v>
      </c>
      <c r="AN35" s="270">
        <v>0</v>
      </c>
      <c r="AO35" s="170">
        <f>AC35+AK35-AM35</f>
        <v>9789</v>
      </c>
      <c r="AP35" s="233"/>
      <c r="AQ35" s="233"/>
      <c r="AR35" s="170">
        <v>489.45</v>
      </c>
      <c r="AS35" s="170">
        <f>AQ35*AR35</f>
        <v>0</v>
      </c>
      <c r="AT35" s="227">
        <v>140</v>
      </c>
      <c r="AU35" s="386">
        <f>AT35*AR35</f>
        <v>68523</v>
      </c>
      <c r="AV35" s="279">
        <f>AT35</f>
        <v>140</v>
      </c>
    </row>
    <row r="36" spans="1:49" s="62" customFormat="1" ht="26.25" hidden="1" customHeight="1">
      <c r="A36" s="59"/>
      <c r="B36" s="60"/>
      <c r="C36" s="60"/>
      <c r="D36" s="22"/>
      <c r="E36" s="79" t="s">
        <v>24</v>
      </c>
      <c r="F36" s="51" t="s">
        <v>44</v>
      </c>
      <c r="G36" s="275" t="s">
        <v>116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 t="s">
        <v>186</v>
      </c>
      <c r="V36" s="115">
        <v>1418</v>
      </c>
      <c r="W36" s="114">
        <v>43312</v>
      </c>
      <c r="X36" s="115" t="s">
        <v>184</v>
      </c>
      <c r="Y36" s="221">
        <v>43332</v>
      </c>
      <c r="Z36" s="115" t="s">
        <v>185</v>
      </c>
      <c r="AA36" s="221">
        <v>43320</v>
      </c>
      <c r="AB36" s="22">
        <v>0</v>
      </c>
      <c r="AC36" s="170">
        <v>0</v>
      </c>
      <c r="AD36" s="208">
        <v>55</v>
      </c>
      <c r="AE36" s="170">
        <v>10780</v>
      </c>
      <c r="AF36" s="208"/>
      <c r="AG36" s="170"/>
      <c r="AH36" s="208"/>
      <c r="AI36" s="170"/>
      <c r="AJ36" s="233"/>
      <c r="AK36" s="170">
        <f t="shared" si="6"/>
        <v>10780</v>
      </c>
      <c r="AL36" s="270">
        <v>0</v>
      </c>
      <c r="AM36" s="170">
        <v>0</v>
      </c>
      <c r="AN36" s="270">
        <v>55</v>
      </c>
      <c r="AO36" s="170">
        <v>0</v>
      </c>
      <c r="AP36" s="233"/>
      <c r="AQ36" s="233"/>
      <c r="AR36" s="170">
        <v>196</v>
      </c>
      <c r="AS36" s="170">
        <f t="shared" si="3"/>
        <v>0</v>
      </c>
      <c r="AT36" s="233">
        <f>55-15-40</f>
        <v>0</v>
      </c>
      <c r="AU36" s="386">
        <f t="shared" si="4"/>
        <v>0</v>
      </c>
      <c r="AV36" s="279">
        <f t="shared" ref="AV36:AV37" si="7">AT36</f>
        <v>0</v>
      </c>
    </row>
    <row r="37" spans="1:49" s="62" customFormat="1" ht="26.25" customHeight="1">
      <c r="A37" s="59"/>
      <c r="B37" s="60"/>
      <c r="C37" s="60"/>
      <c r="D37" s="22"/>
      <c r="E37" s="79"/>
      <c r="F37" s="485" t="s">
        <v>269</v>
      </c>
      <c r="G37" s="222" t="s">
        <v>152</v>
      </c>
      <c r="H37" s="115"/>
      <c r="I37" s="115"/>
      <c r="J37" s="115"/>
      <c r="K37" s="115"/>
      <c r="L37" s="276"/>
      <c r="M37" s="277"/>
      <c r="N37" s="276"/>
      <c r="O37" s="115"/>
      <c r="P37" s="276"/>
      <c r="Q37" s="115"/>
      <c r="R37" s="276"/>
      <c r="S37" s="115"/>
      <c r="T37" s="276"/>
      <c r="U37" s="203" t="s">
        <v>265</v>
      </c>
      <c r="V37" s="115"/>
      <c r="W37" s="114"/>
      <c r="X37" s="115"/>
      <c r="Y37" s="221"/>
      <c r="Z37" s="115"/>
      <c r="AA37" s="221"/>
      <c r="AB37" s="22"/>
      <c r="AC37" s="170"/>
      <c r="AD37" s="208"/>
      <c r="AE37" s="170"/>
      <c r="AF37" s="208"/>
      <c r="AG37" s="170"/>
      <c r="AH37" s="208"/>
      <c r="AI37" s="170"/>
      <c r="AJ37" s="232">
        <v>50</v>
      </c>
      <c r="AK37" s="170"/>
      <c r="AL37" s="270"/>
      <c r="AM37" s="170"/>
      <c r="AN37" s="270"/>
      <c r="AO37" s="170"/>
      <c r="AP37" s="233"/>
      <c r="AQ37" s="233"/>
      <c r="AR37" s="170"/>
      <c r="AS37" s="170"/>
      <c r="AT37" s="227">
        <v>50</v>
      </c>
      <c r="AU37" s="386"/>
      <c r="AV37" s="279">
        <f t="shared" si="7"/>
        <v>50</v>
      </c>
    </row>
    <row r="38" spans="1:49" s="62" customFormat="1" ht="26.25" hidden="1" customHeight="1">
      <c r="A38" s="59"/>
      <c r="B38" s="60"/>
      <c r="C38" s="60"/>
      <c r="D38" s="22"/>
      <c r="E38" s="79"/>
      <c r="F38" s="51" t="s">
        <v>44</v>
      </c>
      <c r="G38" s="275" t="s">
        <v>116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/>
      <c r="V38" s="115"/>
      <c r="W38" s="114"/>
      <c r="X38" s="115"/>
      <c r="Y38" s="221"/>
      <c r="Z38" s="115"/>
      <c r="AA38" s="221"/>
      <c r="AB38" s="22"/>
      <c r="AC38" s="170"/>
      <c r="AD38" s="208"/>
      <c r="AE38" s="170"/>
      <c r="AF38" s="208"/>
      <c r="AG38" s="170"/>
      <c r="AH38" s="208"/>
      <c r="AI38" s="170"/>
      <c r="AJ38" s="233"/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v>0</v>
      </c>
      <c r="AU38" s="386"/>
      <c r="AV38" s="233">
        <v>0</v>
      </c>
    </row>
    <row r="39" spans="1:49" s="62" customFormat="1" ht="27" hidden="1" customHeight="1">
      <c r="A39" s="59"/>
      <c r="B39" s="60"/>
      <c r="C39" s="60"/>
      <c r="D39" s="22"/>
      <c r="E39" s="79" t="s">
        <v>24</v>
      </c>
      <c r="F39" s="51" t="s">
        <v>52</v>
      </c>
      <c r="G39" s="275" t="s">
        <v>111</v>
      </c>
      <c r="H39" s="115" t="s">
        <v>91</v>
      </c>
      <c r="I39" s="115" t="s">
        <v>91</v>
      </c>
      <c r="J39" s="115"/>
      <c r="K39" s="115"/>
      <c r="L39" s="276"/>
      <c r="M39" s="277">
        <f t="shared" si="0"/>
        <v>0</v>
      </c>
      <c r="N39" s="276">
        <f t="shared" si="1"/>
        <v>0</v>
      </c>
      <c r="O39" s="115"/>
      <c r="P39" s="276"/>
      <c r="Q39" s="115"/>
      <c r="R39" s="276"/>
      <c r="S39" s="115"/>
      <c r="T39" s="276"/>
      <c r="U39" s="278" t="s">
        <v>112</v>
      </c>
      <c r="V39" s="115">
        <v>1625</v>
      </c>
      <c r="W39" s="114">
        <v>43087</v>
      </c>
      <c r="X39" s="115" t="s">
        <v>109</v>
      </c>
      <c r="Y39" s="221">
        <v>43109</v>
      </c>
      <c r="Z39" s="115" t="s">
        <v>110</v>
      </c>
      <c r="AA39" s="221">
        <v>43111</v>
      </c>
      <c r="AB39" s="22">
        <v>0</v>
      </c>
      <c r="AC39" s="170">
        <v>0</v>
      </c>
      <c r="AD39" s="208">
        <v>5</v>
      </c>
      <c r="AE39" s="170">
        <v>1010.9</v>
      </c>
      <c r="AF39" s="208"/>
      <c r="AG39" s="170"/>
      <c r="AH39" s="208"/>
      <c r="AI39" s="170"/>
      <c r="AJ39" s="232"/>
      <c r="AK39" s="170">
        <f t="shared" si="6"/>
        <v>1010.9</v>
      </c>
      <c r="AL39" s="270">
        <v>5</v>
      </c>
      <c r="AM39" s="170">
        <v>1010.9</v>
      </c>
      <c r="AN39" s="270">
        <v>0</v>
      </c>
      <c r="AO39" s="170">
        <f t="shared" si="2"/>
        <v>0</v>
      </c>
      <c r="AP39" s="233"/>
      <c r="AQ39" s="233"/>
      <c r="AR39" s="170"/>
      <c r="AS39" s="170">
        <f t="shared" si="3"/>
        <v>0</v>
      </c>
      <c r="AT39" s="208">
        <v>0</v>
      </c>
      <c r="AU39" s="170">
        <f t="shared" si="4"/>
        <v>0</v>
      </c>
      <c r="AV39" s="233">
        <f t="shared" si="5"/>
        <v>0</v>
      </c>
    </row>
    <row r="40" spans="1:49" s="62" customFormat="1" ht="27" hidden="1" customHeight="1">
      <c r="A40" s="59"/>
      <c r="B40" s="60"/>
      <c r="C40" s="60"/>
      <c r="D40" s="22"/>
      <c r="E40" s="79" t="s">
        <v>24</v>
      </c>
      <c r="F40" s="51" t="s">
        <v>52</v>
      </c>
      <c r="G40" s="275" t="s">
        <v>111</v>
      </c>
      <c r="H40" s="115" t="s">
        <v>91</v>
      </c>
      <c r="I40" s="115" t="s">
        <v>91</v>
      </c>
      <c r="J40" s="115">
        <v>2016</v>
      </c>
      <c r="K40" s="115">
        <v>2</v>
      </c>
      <c r="L40" s="276">
        <v>199.06</v>
      </c>
      <c r="M40" s="277">
        <f t="shared" si="0"/>
        <v>4032</v>
      </c>
      <c r="N40" s="276">
        <f t="shared" si="1"/>
        <v>802609.92</v>
      </c>
      <c r="O40" s="115">
        <v>4130</v>
      </c>
      <c r="P40" s="276">
        <v>1054554.2</v>
      </c>
      <c r="Q40" s="115"/>
      <c r="R40" s="276"/>
      <c r="S40" s="115"/>
      <c r="T40" s="276"/>
      <c r="U40" s="278" t="s">
        <v>112</v>
      </c>
      <c r="V40" s="115">
        <v>1583</v>
      </c>
      <c r="W40" s="114">
        <v>43082</v>
      </c>
      <c r="X40" s="115" t="s">
        <v>113</v>
      </c>
      <c r="Y40" s="221">
        <v>43109</v>
      </c>
      <c r="Z40" s="115" t="s">
        <v>110</v>
      </c>
      <c r="AA40" s="221">
        <v>43111</v>
      </c>
      <c r="AB40" s="22">
        <v>0</v>
      </c>
      <c r="AC40" s="170">
        <v>0</v>
      </c>
      <c r="AD40" s="208">
        <v>490</v>
      </c>
      <c r="AE40" s="170">
        <v>99068.2</v>
      </c>
      <c r="AF40" s="208"/>
      <c r="AG40" s="170"/>
      <c r="AH40" s="208"/>
      <c r="AI40" s="170"/>
      <c r="AJ40" s="232"/>
      <c r="AK40" s="170">
        <f t="shared" si="6"/>
        <v>99068.2</v>
      </c>
      <c r="AL40" s="270">
        <f>135+130+130</f>
        <v>395</v>
      </c>
      <c r="AM40" s="170">
        <f>AL40*AR40</f>
        <v>79861.100000000006</v>
      </c>
      <c r="AN40" s="270">
        <v>95</v>
      </c>
      <c r="AO40" s="170">
        <f t="shared" si="2"/>
        <v>19207.099999999991</v>
      </c>
      <c r="AP40" s="233"/>
      <c r="AQ40" s="233"/>
      <c r="AR40" s="170">
        <v>202.18</v>
      </c>
      <c r="AS40" s="170">
        <f t="shared" si="3"/>
        <v>0</v>
      </c>
      <c r="AT40" s="233">
        <v>0</v>
      </c>
      <c r="AU40" s="386">
        <f t="shared" si="4"/>
        <v>0</v>
      </c>
      <c r="AV40" s="233">
        <f t="shared" si="5"/>
        <v>0</v>
      </c>
    </row>
    <row r="41" spans="1:49" s="62" customFormat="1" ht="27" hidden="1" customHeight="1">
      <c r="A41" s="59"/>
      <c r="B41" s="60"/>
      <c r="C41" s="60"/>
      <c r="D41" s="22"/>
      <c r="E41" s="79" t="s">
        <v>24</v>
      </c>
      <c r="F41" s="51" t="s">
        <v>52</v>
      </c>
      <c r="G41" s="275" t="s">
        <v>111</v>
      </c>
      <c r="H41" s="115" t="s">
        <v>91</v>
      </c>
      <c r="I41" s="115" t="s">
        <v>91</v>
      </c>
      <c r="J41" s="115"/>
      <c r="K41" s="115"/>
      <c r="L41" s="276"/>
      <c r="M41" s="277">
        <f t="shared" si="0"/>
        <v>0</v>
      </c>
      <c r="N41" s="276">
        <f t="shared" si="1"/>
        <v>0</v>
      </c>
      <c r="O41" s="115"/>
      <c r="P41" s="276"/>
      <c r="Q41" s="115"/>
      <c r="R41" s="276"/>
      <c r="S41" s="115"/>
      <c r="T41" s="276"/>
      <c r="U41" s="278" t="s">
        <v>112</v>
      </c>
      <c r="V41" s="115">
        <v>1745</v>
      </c>
      <c r="W41" s="114">
        <v>43096</v>
      </c>
      <c r="X41" s="115" t="s">
        <v>117</v>
      </c>
      <c r="Y41" s="221">
        <v>43109</v>
      </c>
      <c r="Z41" s="115" t="s">
        <v>118</v>
      </c>
      <c r="AA41" s="221">
        <v>43133</v>
      </c>
      <c r="AB41" s="22">
        <v>0</v>
      </c>
      <c r="AC41" s="170">
        <v>0</v>
      </c>
      <c r="AD41" s="208">
        <v>195</v>
      </c>
      <c r="AE41" s="170">
        <v>39425.1</v>
      </c>
      <c r="AF41" s="208"/>
      <c r="AG41" s="170"/>
      <c r="AH41" s="208"/>
      <c r="AI41" s="170"/>
      <c r="AJ41" s="232"/>
      <c r="AK41" s="170">
        <f t="shared" si="6"/>
        <v>39425.1</v>
      </c>
      <c r="AL41" s="270">
        <v>0</v>
      </c>
      <c r="AM41" s="170">
        <v>0</v>
      </c>
      <c r="AN41" s="270">
        <v>195</v>
      </c>
      <c r="AO41" s="170">
        <f t="shared" si="2"/>
        <v>39425.1</v>
      </c>
      <c r="AP41" s="233"/>
      <c r="AQ41" s="233"/>
      <c r="AR41" s="170">
        <v>202.18</v>
      </c>
      <c r="AS41" s="170">
        <f t="shared" si="3"/>
        <v>0</v>
      </c>
      <c r="AT41" s="233">
        <f>160-140-20</f>
        <v>0</v>
      </c>
      <c r="AU41" s="386">
        <f t="shared" si="4"/>
        <v>0</v>
      </c>
      <c r="AV41" s="233">
        <f t="shared" si="5"/>
        <v>0</v>
      </c>
    </row>
    <row r="42" spans="1:49" s="62" customFormat="1" ht="26.25" customHeight="1">
      <c r="A42" s="59"/>
      <c r="B42" s="60"/>
      <c r="C42" s="137"/>
      <c r="D42" s="192"/>
      <c r="E42" s="79" t="s">
        <v>24</v>
      </c>
      <c r="F42" s="525" t="s">
        <v>65</v>
      </c>
      <c r="G42" s="222" t="s">
        <v>111</v>
      </c>
      <c r="H42" s="115" t="s">
        <v>91</v>
      </c>
      <c r="I42" s="115" t="s">
        <v>91</v>
      </c>
      <c r="J42" s="115"/>
      <c r="K42" s="115"/>
      <c r="L42" s="276"/>
      <c r="M42" s="277">
        <f t="shared" si="0"/>
        <v>0</v>
      </c>
      <c r="N42" s="276">
        <f t="shared" si="1"/>
        <v>0</v>
      </c>
      <c r="O42" s="115"/>
      <c r="P42" s="276"/>
      <c r="Q42" s="115"/>
      <c r="R42" s="276"/>
      <c r="S42" s="115"/>
      <c r="T42" s="276"/>
      <c r="U42" s="527" t="s">
        <v>133</v>
      </c>
      <c r="V42" s="193">
        <v>426</v>
      </c>
      <c r="W42" s="532">
        <v>43164</v>
      </c>
      <c r="X42" s="193" t="s">
        <v>141</v>
      </c>
      <c r="Y42" s="200">
        <v>43164</v>
      </c>
      <c r="Z42" s="193" t="s">
        <v>142</v>
      </c>
      <c r="AA42" s="200">
        <v>43230</v>
      </c>
      <c r="AB42" s="192">
        <v>0</v>
      </c>
      <c r="AC42" s="530">
        <v>0</v>
      </c>
      <c r="AD42" s="531">
        <v>170</v>
      </c>
      <c r="AE42" s="530">
        <v>34370.6</v>
      </c>
      <c r="AF42" s="531"/>
      <c r="AG42" s="530"/>
      <c r="AH42" s="531"/>
      <c r="AI42" s="530"/>
      <c r="AJ42" s="247"/>
      <c r="AK42" s="170">
        <f t="shared" si="6"/>
        <v>34370.6</v>
      </c>
      <c r="AL42" s="270">
        <v>0</v>
      </c>
      <c r="AM42" s="170">
        <v>0</v>
      </c>
      <c r="AN42" s="270">
        <v>170</v>
      </c>
      <c r="AO42" s="170">
        <f t="shared" si="2"/>
        <v>34370.6</v>
      </c>
      <c r="AP42" s="233"/>
      <c r="AQ42" s="233"/>
      <c r="AR42" s="170">
        <v>202.18</v>
      </c>
      <c r="AS42" s="170">
        <f t="shared" si="3"/>
        <v>0</v>
      </c>
      <c r="AT42" s="247">
        <f>60</f>
        <v>60</v>
      </c>
      <c r="AU42" s="249">
        <f t="shared" si="4"/>
        <v>12130.800000000001</v>
      </c>
      <c r="AV42" s="247">
        <f t="shared" si="5"/>
        <v>60</v>
      </c>
    </row>
    <row r="43" spans="1:49" s="62" customFormat="1" ht="26.25" customHeight="1">
      <c r="A43" s="59"/>
      <c r="B43" s="60"/>
      <c r="C43" s="137"/>
      <c r="D43" s="192"/>
      <c r="E43" s="79" t="s">
        <v>24</v>
      </c>
      <c r="F43" s="525" t="s">
        <v>65</v>
      </c>
      <c r="G43" s="222" t="s">
        <v>111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527" t="s">
        <v>133</v>
      </c>
      <c r="V43" s="193">
        <v>234</v>
      </c>
      <c r="W43" s="532">
        <v>43143</v>
      </c>
      <c r="X43" s="193" t="s">
        <v>143</v>
      </c>
      <c r="Y43" s="200">
        <v>43164</v>
      </c>
      <c r="Z43" s="193"/>
      <c r="AA43" s="193"/>
      <c r="AB43" s="192">
        <v>0</v>
      </c>
      <c r="AC43" s="530">
        <v>0</v>
      </c>
      <c r="AD43" s="531">
        <v>320</v>
      </c>
      <c r="AE43" s="530">
        <v>64697.599999999999</v>
      </c>
      <c r="AF43" s="531"/>
      <c r="AG43" s="530"/>
      <c r="AH43" s="531"/>
      <c r="AI43" s="530"/>
      <c r="AJ43" s="247"/>
      <c r="AK43" s="170">
        <f t="shared" si="6"/>
        <v>64697.599999999999</v>
      </c>
      <c r="AL43" s="272">
        <v>0</v>
      </c>
      <c r="AM43" s="212">
        <v>0</v>
      </c>
      <c r="AN43" s="269">
        <v>320</v>
      </c>
      <c r="AO43" s="217">
        <f t="shared" si="2"/>
        <v>64697.599999999999</v>
      </c>
      <c r="AP43" s="232"/>
      <c r="AQ43" s="229"/>
      <c r="AR43" s="212">
        <v>202.18</v>
      </c>
      <c r="AS43" s="212">
        <f t="shared" si="3"/>
        <v>0</v>
      </c>
      <c r="AT43" s="247">
        <f>320</f>
        <v>320</v>
      </c>
      <c r="AU43" s="249">
        <f t="shared" si="4"/>
        <v>64697.600000000006</v>
      </c>
      <c r="AV43" s="247">
        <f t="shared" si="5"/>
        <v>320</v>
      </c>
    </row>
    <row r="44" spans="1:49" s="62" customFormat="1" ht="26.25" hidden="1" customHeight="1">
      <c r="A44" s="59"/>
      <c r="B44" s="60"/>
      <c r="C44" s="60"/>
      <c r="D44" s="22"/>
      <c r="E44" s="79" t="s">
        <v>24</v>
      </c>
      <c r="F44" s="51" t="s">
        <v>65</v>
      </c>
      <c r="G44" s="275" t="s">
        <v>111</v>
      </c>
      <c r="H44" s="115" t="s">
        <v>91</v>
      </c>
      <c r="I44" s="115" t="s">
        <v>91</v>
      </c>
      <c r="J44" s="115"/>
      <c r="K44" s="115"/>
      <c r="L44" s="276"/>
      <c r="M44" s="277">
        <f t="shared" si="0"/>
        <v>0</v>
      </c>
      <c r="N44" s="276">
        <f t="shared" si="1"/>
        <v>0</v>
      </c>
      <c r="O44" s="115"/>
      <c r="P44" s="276"/>
      <c r="Q44" s="115"/>
      <c r="R44" s="276"/>
      <c r="S44" s="115"/>
      <c r="T44" s="276"/>
      <c r="U44" s="278" t="s">
        <v>132</v>
      </c>
      <c r="V44" s="115">
        <v>234</v>
      </c>
      <c r="W44" s="114">
        <v>43143</v>
      </c>
      <c r="X44" s="115" t="s">
        <v>143</v>
      </c>
      <c r="Y44" s="221">
        <v>43164</v>
      </c>
      <c r="Z44" s="115"/>
      <c r="AA44" s="115"/>
      <c r="AB44" s="22">
        <v>0</v>
      </c>
      <c r="AC44" s="170">
        <v>0</v>
      </c>
      <c r="AD44" s="208">
        <v>15</v>
      </c>
      <c r="AE44" s="170">
        <v>3032.7</v>
      </c>
      <c r="AF44" s="208"/>
      <c r="AG44" s="170"/>
      <c r="AH44" s="208"/>
      <c r="AI44" s="170"/>
      <c r="AJ44" s="233"/>
      <c r="AK44" s="170">
        <f t="shared" si="6"/>
        <v>3032.7</v>
      </c>
      <c r="AL44" s="270">
        <v>0</v>
      </c>
      <c r="AM44" s="170">
        <v>0</v>
      </c>
      <c r="AN44" s="270">
        <v>15</v>
      </c>
      <c r="AO44" s="170">
        <f t="shared" si="2"/>
        <v>3032.7</v>
      </c>
      <c r="AP44" s="233"/>
      <c r="AQ44" s="233"/>
      <c r="AR44" s="170">
        <v>202.18</v>
      </c>
      <c r="AS44" s="170">
        <f t="shared" si="3"/>
        <v>0</v>
      </c>
      <c r="AT44" s="233">
        <v>0</v>
      </c>
      <c r="AU44" s="386">
        <f t="shared" si="4"/>
        <v>0</v>
      </c>
      <c r="AV44" s="233">
        <v>0</v>
      </c>
      <c r="AW44" s="517" t="s">
        <v>287</v>
      </c>
    </row>
    <row r="45" spans="1:49" s="62" customFormat="1" ht="27" customHeight="1">
      <c r="A45" s="59"/>
      <c r="B45" s="60"/>
      <c r="C45" s="137"/>
      <c r="D45" s="192"/>
      <c r="E45" s="79" t="s">
        <v>24</v>
      </c>
      <c r="F45" s="525" t="s">
        <v>65</v>
      </c>
      <c r="G45" s="222" t="s">
        <v>111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527" t="s">
        <v>133</v>
      </c>
      <c r="V45" s="193">
        <v>356</v>
      </c>
      <c r="W45" s="532">
        <v>43159</v>
      </c>
      <c r="X45" s="193" t="s">
        <v>136</v>
      </c>
      <c r="Y45" s="200">
        <v>43164</v>
      </c>
      <c r="Z45" s="193"/>
      <c r="AA45" s="193"/>
      <c r="AB45" s="192">
        <v>0</v>
      </c>
      <c r="AC45" s="530">
        <v>0</v>
      </c>
      <c r="AD45" s="531">
        <v>170</v>
      </c>
      <c r="AE45" s="530">
        <v>34370.6</v>
      </c>
      <c r="AF45" s="531"/>
      <c r="AG45" s="530"/>
      <c r="AH45" s="531"/>
      <c r="AI45" s="530"/>
      <c r="AJ45" s="247"/>
      <c r="AK45" s="170">
        <f t="shared" si="6"/>
        <v>34370.6</v>
      </c>
      <c r="AL45" s="272">
        <v>0</v>
      </c>
      <c r="AM45" s="212">
        <v>0</v>
      </c>
      <c r="AN45" s="269">
        <v>170</v>
      </c>
      <c r="AO45" s="217">
        <f t="shared" si="2"/>
        <v>34370.6</v>
      </c>
      <c r="AP45" s="232"/>
      <c r="AQ45" s="229"/>
      <c r="AR45" s="212">
        <v>202.18</v>
      </c>
      <c r="AS45" s="212">
        <f t="shared" si="3"/>
        <v>0</v>
      </c>
      <c r="AT45" s="247">
        <v>170</v>
      </c>
      <c r="AU45" s="228">
        <f t="shared" si="4"/>
        <v>34370.6</v>
      </c>
      <c r="AV45" s="247">
        <f t="shared" si="5"/>
        <v>170</v>
      </c>
    </row>
    <row r="46" spans="1:49" s="62" customFormat="1" ht="27" customHeight="1">
      <c r="A46" s="59"/>
      <c r="B46" s="60"/>
      <c r="C46" s="137"/>
      <c r="D46" s="192"/>
      <c r="E46" s="79" t="s">
        <v>24</v>
      </c>
      <c r="F46" s="525" t="s">
        <v>65</v>
      </c>
      <c r="G46" s="222" t="s">
        <v>111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527" t="s">
        <v>133</v>
      </c>
      <c r="V46" s="193">
        <v>260</v>
      </c>
      <c r="W46" s="532">
        <v>43145</v>
      </c>
      <c r="X46" s="193" t="s">
        <v>94</v>
      </c>
      <c r="Y46" s="200">
        <v>43164</v>
      </c>
      <c r="Z46" s="193"/>
      <c r="AA46" s="193"/>
      <c r="AB46" s="192">
        <v>0</v>
      </c>
      <c r="AC46" s="530">
        <v>0</v>
      </c>
      <c r="AD46" s="531">
        <v>665</v>
      </c>
      <c r="AE46" s="530">
        <v>134449.70000000001</v>
      </c>
      <c r="AF46" s="531"/>
      <c r="AG46" s="530"/>
      <c r="AH46" s="531"/>
      <c r="AI46" s="530"/>
      <c r="AJ46" s="247"/>
      <c r="AK46" s="170">
        <f t="shared" si="6"/>
        <v>134449.70000000001</v>
      </c>
      <c r="AL46" s="272">
        <v>0</v>
      </c>
      <c r="AM46" s="212">
        <v>0</v>
      </c>
      <c r="AN46" s="269">
        <v>665</v>
      </c>
      <c r="AO46" s="217">
        <f t="shared" si="2"/>
        <v>134449.70000000001</v>
      </c>
      <c r="AP46" s="232"/>
      <c r="AQ46" s="229"/>
      <c r="AR46" s="212">
        <v>202.18</v>
      </c>
      <c r="AS46" s="212">
        <f t="shared" si="3"/>
        <v>0</v>
      </c>
      <c r="AT46" s="247">
        <v>665</v>
      </c>
      <c r="AU46" s="249">
        <f t="shared" si="4"/>
        <v>134449.70000000001</v>
      </c>
      <c r="AV46" s="247">
        <f t="shared" si="5"/>
        <v>665</v>
      </c>
    </row>
    <row r="47" spans="1:49" s="62" customFormat="1" ht="26.25" hidden="1" customHeight="1">
      <c r="A47" s="59"/>
      <c r="B47" s="60"/>
      <c r="C47" s="60"/>
      <c r="D47" s="22"/>
      <c r="E47" s="79" t="s">
        <v>24</v>
      </c>
      <c r="F47" s="51" t="s">
        <v>65</v>
      </c>
      <c r="G47" s="275" t="s">
        <v>111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124</v>
      </c>
      <c r="V47" s="115">
        <v>68</v>
      </c>
      <c r="W47" s="114">
        <v>43116</v>
      </c>
      <c r="X47" s="115" t="s">
        <v>125</v>
      </c>
      <c r="Y47" s="221">
        <v>43130</v>
      </c>
      <c r="Z47" s="115"/>
      <c r="AA47" s="115"/>
      <c r="AB47" s="22">
        <v>0</v>
      </c>
      <c r="AC47" s="170">
        <v>0</v>
      </c>
      <c r="AD47" s="208">
        <v>335</v>
      </c>
      <c r="AE47" s="170">
        <v>67730.3</v>
      </c>
      <c r="AF47" s="208"/>
      <c r="AG47" s="170"/>
      <c r="AH47" s="208"/>
      <c r="AI47" s="170"/>
      <c r="AJ47" s="233"/>
      <c r="AK47" s="170">
        <f t="shared" si="6"/>
        <v>67730.3</v>
      </c>
      <c r="AL47" s="270">
        <v>0</v>
      </c>
      <c r="AM47" s="170">
        <v>0</v>
      </c>
      <c r="AN47" s="270">
        <v>335</v>
      </c>
      <c r="AO47" s="170">
        <f t="shared" si="2"/>
        <v>67730.3</v>
      </c>
      <c r="AP47" s="233"/>
      <c r="AQ47" s="233"/>
      <c r="AR47" s="170">
        <v>202.18</v>
      </c>
      <c r="AS47" s="170">
        <f t="shared" si="3"/>
        <v>0</v>
      </c>
      <c r="AT47" s="233">
        <f>155-155</f>
        <v>0</v>
      </c>
      <c r="AU47" s="386">
        <f t="shared" si="4"/>
        <v>0</v>
      </c>
      <c r="AV47" s="233">
        <f t="shared" si="5"/>
        <v>0</v>
      </c>
    </row>
    <row r="48" spans="1:49" s="62" customFormat="1" ht="26.25" hidden="1" customHeight="1">
      <c r="A48" s="59"/>
      <c r="B48" s="60"/>
      <c r="C48" s="60"/>
      <c r="D48" s="22"/>
      <c r="E48" s="79" t="s">
        <v>24</v>
      </c>
      <c r="F48" s="51" t="s">
        <v>65</v>
      </c>
      <c r="G48" s="275" t="s">
        <v>111</v>
      </c>
      <c r="H48" s="115" t="s">
        <v>91</v>
      </c>
      <c r="I48" s="115" t="s">
        <v>91</v>
      </c>
      <c r="J48" s="115"/>
      <c r="K48" s="115"/>
      <c r="L48" s="276"/>
      <c r="M48" s="277">
        <f t="shared" si="0"/>
        <v>0</v>
      </c>
      <c r="N48" s="276">
        <f t="shared" si="1"/>
        <v>0</v>
      </c>
      <c r="O48" s="115"/>
      <c r="P48" s="276"/>
      <c r="Q48" s="115"/>
      <c r="R48" s="276"/>
      <c r="S48" s="115"/>
      <c r="T48" s="276"/>
      <c r="U48" s="278" t="s">
        <v>124</v>
      </c>
      <c r="V48" s="115">
        <v>135</v>
      </c>
      <c r="W48" s="114">
        <v>42761</v>
      </c>
      <c r="X48" s="115" t="s">
        <v>126</v>
      </c>
      <c r="Y48" s="221">
        <v>43130</v>
      </c>
      <c r="Z48" s="115"/>
      <c r="AA48" s="115"/>
      <c r="AB48" s="22">
        <v>0</v>
      </c>
      <c r="AC48" s="170">
        <v>0</v>
      </c>
      <c r="AD48" s="208">
        <v>155</v>
      </c>
      <c r="AE48" s="170">
        <v>31337.9</v>
      </c>
      <c r="AF48" s="208"/>
      <c r="AG48" s="170"/>
      <c r="AH48" s="208"/>
      <c r="AI48" s="170"/>
      <c r="AJ48" s="233"/>
      <c r="AK48" s="170">
        <f t="shared" si="6"/>
        <v>31337.9</v>
      </c>
      <c r="AL48" s="270">
        <v>0</v>
      </c>
      <c r="AM48" s="170">
        <v>0</v>
      </c>
      <c r="AN48" s="270">
        <v>155</v>
      </c>
      <c r="AO48" s="170">
        <f t="shared" si="2"/>
        <v>31337.9</v>
      </c>
      <c r="AP48" s="233"/>
      <c r="AQ48" s="233"/>
      <c r="AR48" s="170">
        <v>202.18</v>
      </c>
      <c r="AS48" s="170">
        <f t="shared" si="3"/>
        <v>0</v>
      </c>
      <c r="AT48" s="233">
        <f>155-155</f>
        <v>0</v>
      </c>
      <c r="AU48" s="386">
        <f t="shared" si="4"/>
        <v>0</v>
      </c>
      <c r="AV48" s="233">
        <f t="shared" si="5"/>
        <v>0</v>
      </c>
    </row>
    <row r="49" spans="1:48" s="62" customFormat="1" ht="26.25" customHeight="1">
      <c r="A49" s="59"/>
      <c r="B49" s="60"/>
      <c r="C49" s="137"/>
      <c r="D49" s="192"/>
      <c r="E49" s="79" t="s">
        <v>24</v>
      </c>
      <c r="F49" s="525" t="s">
        <v>65</v>
      </c>
      <c r="G49" s="222" t="s">
        <v>111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527" t="s">
        <v>132</v>
      </c>
      <c r="V49" s="193">
        <v>108</v>
      </c>
      <c r="W49" s="532">
        <v>43119</v>
      </c>
      <c r="X49" s="193" t="s">
        <v>131</v>
      </c>
      <c r="Y49" s="200">
        <v>43130</v>
      </c>
      <c r="Z49" s="193"/>
      <c r="AA49" s="193"/>
      <c r="AB49" s="192">
        <v>0</v>
      </c>
      <c r="AC49" s="530">
        <v>0</v>
      </c>
      <c r="AD49" s="531">
        <v>340</v>
      </c>
      <c r="AE49" s="530">
        <v>68741.2</v>
      </c>
      <c r="AF49" s="531"/>
      <c r="AG49" s="530"/>
      <c r="AH49" s="531"/>
      <c r="AI49" s="530"/>
      <c r="AJ49" s="247"/>
      <c r="AK49" s="170">
        <f t="shared" si="6"/>
        <v>68741.2</v>
      </c>
      <c r="AL49" s="272">
        <v>0</v>
      </c>
      <c r="AM49" s="212">
        <v>0</v>
      </c>
      <c r="AN49" s="269">
        <v>340</v>
      </c>
      <c r="AO49" s="217">
        <f t="shared" si="2"/>
        <v>68741.2</v>
      </c>
      <c r="AP49" s="232"/>
      <c r="AQ49" s="229"/>
      <c r="AR49" s="212">
        <v>202.18</v>
      </c>
      <c r="AS49" s="212">
        <f t="shared" si="3"/>
        <v>0</v>
      </c>
      <c r="AT49" s="247">
        <v>205</v>
      </c>
      <c r="AU49" s="249">
        <f t="shared" si="4"/>
        <v>41446.9</v>
      </c>
      <c r="AV49" s="247">
        <f t="shared" si="5"/>
        <v>205</v>
      </c>
    </row>
    <row r="50" spans="1:48" s="62" customFormat="1" ht="26.25" customHeight="1">
      <c r="A50" s="59"/>
      <c r="B50" s="60"/>
      <c r="C50" s="137"/>
      <c r="D50" s="192"/>
      <c r="E50" s="79" t="s">
        <v>24</v>
      </c>
      <c r="F50" s="525" t="s">
        <v>65</v>
      </c>
      <c r="G50" s="222" t="s">
        <v>111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527" t="s">
        <v>161</v>
      </c>
      <c r="V50" s="193">
        <v>659</v>
      </c>
      <c r="W50" s="532">
        <v>43201</v>
      </c>
      <c r="X50" s="193" t="s">
        <v>159</v>
      </c>
      <c r="Y50" s="200">
        <v>43213</v>
      </c>
      <c r="Z50" s="193" t="s">
        <v>160</v>
      </c>
      <c r="AA50" s="200">
        <v>43255</v>
      </c>
      <c r="AB50" s="192">
        <v>0</v>
      </c>
      <c r="AC50" s="530">
        <v>0</v>
      </c>
      <c r="AD50" s="531">
        <v>245</v>
      </c>
      <c r="AE50" s="530">
        <v>49534.1</v>
      </c>
      <c r="AF50" s="531"/>
      <c r="AG50" s="530"/>
      <c r="AH50" s="531"/>
      <c r="AI50" s="530"/>
      <c r="AJ50" s="247"/>
      <c r="AK50" s="170">
        <f t="shared" si="6"/>
        <v>49534.1</v>
      </c>
      <c r="AL50" s="272">
        <v>0</v>
      </c>
      <c r="AM50" s="212">
        <v>0</v>
      </c>
      <c r="AN50" s="269">
        <v>245</v>
      </c>
      <c r="AO50" s="217">
        <f t="shared" si="2"/>
        <v>49534.1</v>
      </c>
      <c r="AP50" s="232"/>
      <c r="AQ50" s="229"/>
      <c r="AR50" s="212">
        <v>202.18</v>
      </c>
      <c r="AS50" s="212">
        <f t="shared" si="3"/>
        <v>0</v>
      </c>
      <c r="AT50" s="247">
        <v>245</v>
      </c>
      <c r="AU50" s="228">
        <f t="shared" si="4"/>
        <v>49534.1</v>
      </c>
      <c r="AV50" s="247">
        <f t="shared" si="5"/>
        <v>245</v>
      </c>
    </row>
    <row r="51" spans="1:48" s="62" customFormat="1" ht="26.25" customHeight="1">
      <c r="A51" s="59"/>
      <c r="B51" s="60"/>
      <c r="C51" s="60"/>
      <c r="D51" s="22"/>
      <c r="E51" s="79" t="s">
        <v>24</v>
      </c>
      <c r="F51" s="53" t="s">
        <v>65</v>
      </c>
      <c r="G51" s="222" t="s">
        <v>111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161</v>
      </c>
      <c r="V51" s="115">
        <v>834</v>
      </c>
      <c r="W51" s="114">
        <v>43222</v>
      </c>
      <c r="X51" s="193" t="s">
        <v>162</v>
      </c>
      <c r="Y51" s="200">
        <v>43242</v>
      </c>
      <c r="Z51" s="193"/>
      <c r="AA51" s="193"/>
      <c r="AB51" s="22">
        <v>0</v>
      </c>
      <c r="AC51" s="170">
        <v>0</v>
      </c>
      <c r="AD51" s="209">
        <v>555</v>
      </c>
      <c r="AE51" s="194">
        <v>112209.9</v>
      </c>
      <c r="AF51" s="209"/>
      <c r="AG51" s="194"/>
      <c r="AH51" s="209"/>
      <c r="AI51" s="194"/>
      <c r="AJ51" s="232"/>
      <c r="AK51" s="170">
        <f t="shared" si="6"/>
        <v>112209.9</v>
      </c>
      <c r="AL51" s="272">
        <v>0</v>
      </c>
      <c r="AM51" s="212">
        <v>0</v>
      </c>
      <c r="AN51" s="269">
        <v>555</v>
      </c>
      <c r="AO51" s="217">
        <f t="shared" si="2"/>
        <v>112209.9</v>
      </c>
      <c r="AP51" s="232"/>
      <c r="AQ51" s="229"/>
      <c r="AR51" s="212">
        <v>202.18</v>
      </c>
      <c r="AS51" s="212">
        <f t="shared" si="3"/>
        <v>0</v>
      </c>
      <c r="AT51" s="227">
        <f>555-60</f>
        <v>495</v>
      </c>
      <c r="AU51" s="228">
        <f t="shared" si="4"/>
        <v>100079.1</v>
      </c>
      <c r="AV51" s="279">
        <f t="shared" si="5"/>
        <v>495</v>
      </c>
    </row>
    <row r="52" spans="1:48" s="62" customFormat="1" ht="26.25" hidden="1" customHeight="1">
      <c r="A52" s="59"/>
      <c r="B52" s="60"/>
      <c r="C52" s="60"/>
      <c r="D52" s="22"/>
      <c r="E52" s="79" t="s">
        <v>24</v>
      </c>
      <c r="F52" s="51" t="s">
        <v>65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175</v>
      </c>
      <c r="V52" s="115">
        <v>1006</v>
      </c>
      <c r="W52" s="114">
        <v>43244</v>
      </c>
      <c r="X52" s="115" t="s">
        <v>179</v>
      </c>
      <c r="Y52" s="221">
        <v>43285</v>
      </c>
      <c r="Z52" s="115"/>
      <c r="AA52" s="115"/>
      <c r="AB52" s="22">
        <v>0</v>
      </c>
      <c r="AC52" s="170">
        <v>0</v>
      </c>
      <c r="AD52" s="208">
        <v>45</v>
      </c>
      <c r="AE52" s="170">
        <v>8820</v>
      </c>
      <c r="AF52" s="208"/>
      <c r="AG52" s="170"/>
      <c r="AH52" s="208"/>
      <c r="AI52" s="170"/>
      <c r="AJ52" s="233"/>
      <c r="AK52" s="170">
        <f t="shared" si="6"/>
        <v>8820</v>
      </c>
      <c r="AL52" s="270">
        <v>0</v>
      </c>
      <c r="AM52" s="170">
        <v>0</v>
      </c>
      <c r="AN52" s="270">
        <v>45</v>
      </c>
      <c r="AO52" s="170">
        <f t="shared" si="2"/>
        <v>8820</v>
      </c>
      <c r="AP52" s="233"/>
      <c r="AQ52" s="233"/>
      <c r="AR52" s="170">
        <v>196</v>
      </c>
      <c r="AS52" s="170">
        <f t="shared" si="3"/>
        <v>0</v>
      </c>
      <c r="AT52" s="233">
        <f>45-45</f>
        <v>0</v>
      </c>
      <c r="AU52" s="386">
        <f t="shared" si="4"/>
        <v>0</v>
      </c>
      <c r="AV52" s="233">
        <f t="shared" si="5"/>
        <v>0</v>
      </c>
    </row>
    <row r="53" spans="1:48" s="62" customFormat="1" ht="26.25" hidden="1" customHeight="1">
      <c r="A53" s="59"/>
      <c r="B53" s="60"/>
      <c r="C53" s="60"/>
      <c r="D53" s="22"/>
      <c r="E53" s="79" t="s">
        <v>24</v>
      </c>
      <c r="F53" s="51" t="s">
        <v>65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175</v>
      </c>
      <c r="V53" s="115">
        <v>1006</v>
      </c>
      <c r="W53" s="114">
        <v>43244</v>
      </c>
      <c r="X53" s="115" t="s">
        <v>179</v>
      </c>
      <c r="Y53" s="221">
        <v>43285</v>
      </c>
      <c r="Z53" s="115"/>
      <c r="AA53" s="115"/>
      <c r="AB53" s="22">
        <v>0</v>
      </c>
      <c r="AC53" s="170">
        <v>0</v>
      </c>
      <c r="AD53" s="208">
        <v>55</v>
      </c>
      <c r="AE53" s="170">
        <v>11119.9</v>
      </c>
      <c r="AF53" s="208"/>
      <c r="AG53" s="170"/>
      <c r="AH53" s="208"/>
      <c r="AI53" s="170"/>
      <c r="AJ53" s="233"/>
      <c r="AK53" s="170">
        <f t="shared" si="6"/>
        <v>11119.9</v>
      </c>
      <c r="AL53" s="270">
        <v>0</v>
      </c>
      <c r="AM53" s="170">
        <v>0</v>
      </c>
      <c r="AN53" s="270">
        <v>55</v>
      </c>
      <c r="AO53" s="170">
        <f t="shared" si="2"/>
        <v>11119.9</v>
      </c>
      <c r="AP53" s="233"/>
      <c r="AQ53" s="233"/>
      <c r="AR53" s="170">
        <v>202.18</v>
      </c>
      <c r="AS53" s="170">
        <f t="shared" si="3"/>
        <v>0</v>
      </c>
      <c r="AT53" s="233">
        <f>55-55</f>
        <v>0</v>
      </c>
      <c r="AU53" s="386">
        <f t="shared" si="4"/>
        <v>0</v>
      </c>
      <c r="AV53" s="233">
        <f t="shared" si="5"/>
        <v>0</v>
      </c>
    </row>
    <row r="54" spans="1:48" s="62" customFormat="1" ht="26.25" customHeight="1">
      <c r="A54" s="59"/>
      <c r="B54" s="60"/>
      <c r="C54" s="60"/>
      <c r="D54" s="22"/>
      <c r="E54" s="79" t="s">
        <v>24</v>
      </c>
      <c r="F54" s="53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175</v>
      </c>
      <c r="V54" s="115">
        <v>877</v>
      </c>
      <c r="W54" s="114">
        <v>43230</v>
      </c>
      <c r="X54" s="193" t="s">
        <v>174</v>
      </c>
      <c r="Y54" s="200">
        <v>43285</v>
      </c>
      <c r="Z54" s="193"/>
      <c r="AA54" s="193"/>
      <c r="AB54" s="22">
        <v>0</v>
      </c>
      <c r="AC54" s="170">
        <v>0</v>
      </c>
      <c r="AD54" s="209">
        <v>210</v>
      </c>
      <c r="AE54" s="194">
        <v>42457.8</v>
      </c>
      <c r="AF54" s="209"/>
      <c r="AG54" s="194"/>
      <c r="AH54" s="209"/>
      <c r="AI54" s="194"/>
      <c r="AJ54" s="232"/>
      <c r="AK54" s="170">
        <f t="shared" si="6"/>
        <v>42457.8</v>
      </c>
      <c r="AL54" s="272">
        <v>0</v>
      </c>
      <c r="AM54" s="212">
        <v>0</v>
      </c>
      <c r="AN54" s="269">
        <v>210</v>
      </c>
      <c r="AO54" s="217">
        <f t="shared" si="2"/>
        <v>42457.8</v>
      </c>
      <c r="AP54" s="232"/>
      <c r="AQ54" s="229"/>
      <c r="AR54" s="212">
        <v>202.18</v>
      </c>
      <c r="AS54" s="212">
        <f t="shared" si="3"/>
        <v>0</v>
      </c>
      <c r="AT54" s="227">
        <v>210</v>
      </c>
      <c r="AU54" s="228">
        <f t="shared" si="4"/>
        <v>42457.8</v>
      </c>
      <c r="AV54" s="279">
        <f t="shared" si="5"/>
        <v>210</v>
      </c>
    </row>
    <row r="55" spans="1:48" s="62" customFormat="1" ht="26.25" customHeight="1">
      <c r="A55" s="59"/>
      <c r="B55" s="60"/>
      <c r="C55" s="60"/>
      <c r="D55" s="22"/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161</v>
      </c>
      <c r="V55" s="115">
        <v>1053</v>
      </c>
      <c r="W55" s="114">
        <v>43255</v>
      </c>
      <c r="X55" s="193" t="s">
        <v>177</v>
      </c>
      <c r="Y55" s="200">
        <v>43285</v>
      </c>
      <c r="Z55" s="193" t="s">
        <v>178</v>
      </c>
      <c r="AA55" s="200">
        <v>43269</v>
      </c>
      <c r="AB55" s="22">
        <v>0</v>
      </c>
      <c r="AC55" s="170">
        <v>0</v>
      </c>
      <c r="AD55" s="209">
        <v>105</v>
      </c>
      <c r="AE55" s="194">
        <v>21228.9</v>
      </c>
      <c r="AF55" s="209"/>
      <c r="AG55" s="194"/>
      <c r="AH55" s="209"/>
      <c r="AI55" s="194"/>
      <c r="AJ55" s="232"/>
      <c r="AK55" s="170">
        <f t="shared" si="6"/>
        <v>21228.9</v>
      </c>
      <c r="AL55" s="272">
        <v>0</v>
      </c>
      <c r="AM55" s="212">
        <v>0</v>
      </c>
      <c r="AN55" s="269">
        <v>105</v>
      </c>
      <c r="AO55" s="217">
        <f t="shared" si="2"/>
        <v>21228.9</v>
      </c>
      <c r="AP55" s="232"/>
      <c r="AQ55" s="229"/>
      <c r="AR55" s="212">
        <v>202.18</v>
      </c>
      <c r="AS55" s="212">
        <f t="shared" si="3"/>
        <v>0</v>
      </c>
      <c r="AT55" s="227">
        <v>105</v>
      </c>
      <c r="AU55" s="228">
        <f t="shared" si="4"/>
        <v>21228.9</v>
      </c>
      <c r="AV55" s="279">
        <f t="shared" si="5"/>
        <v>105</v>
      </c>
    </row>
    <row r="56" spans="1:48" s="62" customFormat="1" ht="26.25" customHeight="1">
      <c r="A56" s="59"/>
      <c r="B56" s="60"/>
      <c r="C56" s="60"/>
      <c r="D56" s="22"/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187</v>
      </c>
      <c r="V56" s="115">
        <v>1418</v>
      </c>
      <c r="W56" s="114">
        <v>43312</v>
      </c>
      <c r="X56" s="193" t="s">
        <v>184</v>
      </c>
      <c r="Y56" s="200">
        <v>43332</v>
      </c>
      <c r="Z56" s="193" t="s">
        <v>185</v>
      </c>
      <c r="AA56" s="200">
        <v>43320</v>
      </c>
      <c r="AB56" s="22">
        <v>0</v>
      </c>
      <c r="AC56" s="170">
        <v>0</v>
      </c>
      <c r="AD56" s="209">
        <v>30</v>
      </c>
      <c r="AE56" s="194">
        <v>5880</v>
      </c>
      <c r="AF56" s="209"/>
      <c r="AG56" s="194"/>
      <c r="AH56" s="209"/>
      <c r="AI56" s="194"/>
      <c r="AJ56" s="232"/>
      <c r="AK56" s="170">
        <f t="shared" si="6"/>
        <v>5880</v>
      </c>
      <c r="AL56" s="272">
        <v>0</v>
      </c>
      <c r="AM56" s="212">
        <v>0</v>
      </c>
      <c r="AN56" s="269">
        <v>30</v>
      </c>
      <c r="AO56" s="217">
        <v>0</v>
      </c>
      <c r="AP56" s="232"/>
      <c r="AQ56" s="229"/>
      <c r="AR56" s="212">
        <v>196</v>
      </c>
      <c r="AS56" s="212">
        <f t="shared" si="3"/>
        <v>0</v>
      </c>
      <c r="AT56" s="227">
        <v>30</v>
      </c>
      <c r="AU56" s="228">
        <f t="shared" si="4"/>
        <v>5880</v>
      </c>
      <c r="AV56" s="279">
        <f t="shared" si="5"/>
        <v>30</v>
      </c>
    </row>
    <row r="57" spans="1:48" s="62" customFormat="1" ht="26.25" customHeight="1">
      <c r="A57" s="59"/>
      <c r="B57" s="60"/>
      <c r="C57" s="60"/>
      <c r="D57" s="22"/>
      <c r="E57" s="79"/>
      <c r="F57" s="53" t="s">
        <v>65</v>
      </c>
      <c r="G57" s="222" t="s">
        <v>111</v>
      </c>
      <c r="H57" s="193"/>
      <c r="I57" s="193"/>
      <c r="J57" s="193"/>
      <c r="K57" s="193"/>
      <c r="L57" s="243"/>
      <c r="M57" s="242"/>
      <c r="N57" s="243"/>
      <c r="O57" s="193"/>
      <c r="P57" s="243"/>
      <c r="Q57" s="193"/>
      <c r="R57" s="243"/>
      <c r="S57" s="193"/>
      <c r="T57" s="243"/>
      <c r="U57" s="203"/>
      <c r="V57" s="115"/>
      <c r="W57" s="114"/>
      <c r="X57" s="193"/>
      <c r="Y57" s="200"/>
      <c r="Z57" s="193"/>
      <c r="AA57" s="200"/>
      <c r="AB57" s="22"/>
      <c r="AC57" s="170"/>
      <c r="AD57" s="209"/>
      <c r="AE57" s="194"/>
      <c r="AF57" s="209"/>
      <c r="AG57" s="194"/>
      <c r="AH57" s="209"/>
      <c r="AI57" s="194"/>
      <c r="AJ57" s="232"/>
      <c r="AK57" s="170"/>
      <c r="AL57" s="272"/>
      <c r="AM57" s="212"/>
      <c r="AN57" s="269"/>
      <c r="AO57" s="217"/>
      <c r="AP57" s="232"/>
      <c r="AQ57" s="229"/>
      <c r="AR57" s="212"/>
      <c r="AS57" s="212"/>
      <c r="AT57" s="227">
        <v>30</v>
      </c>
      <c r="AU57" s="228"/>
      <c r="AV57" s="279">
        <f t="shared" si="5"/>
        <v>30</v>
      </c>
    </row>
    <row r="58" spans="1:48" s="62" customFormat="1" ht="26.25" hidden="1" customHeight="1">
      <c r="A58" s="59"/>
      <c r="B58" s="60"/>
      <c r="C58" s="60"/>
      <c r="D58" s="22"/>
      <c r="E58" s="79" t="s">
        <v>24</v>
      </c>
      <c r="F58" s="51" t="s">
        <v>249</v>
      </c>
      <c r="G58" s="275" t="s">
        <v>146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>
        <v>250</v>
      </c>
      <c r="P58" s="276">
        <v>66042.58</v>
      </c>
      <c r="Q58" s="115"/>
      <c r="R58" s="276"/>
      <c r="S58" s="115"/>
      <c r="T58" s="276"/>
      <c r="U58" s="278" t="s">
        <v>181</v>
      </c>
      <c r="V58" s="115">
        <v>1405</v>
      </c>
      <c r="W58" s="114">
        <v>43052</v>
      </c>
      <c r="X58" s="115" t="s">
        <v>182</v>
      </c>
      <c r="Y58" s="221">
        <v>43201</v>
      </c>
      <c r="Z58" s="115"/>
      <c r="AA58" s="115"/>
      <c r="AB58" s="22">
        <v>0</v>
      </c>
      <c r="AC58" s="170">
        <v>0</v>
      </c>
      <c r="AD58" s="208">
        <v>125</v>
      </c>
      <c r="AE58" s="170">
        <v>26255</v>
      </c>
      <c r="AF58" s="208"/>
      <c r="AG58" s="170"/>
      <c r="AH58" s="208"/>
      <c r="AI58" s="170"/>
      <c r="AJ58" s="232"/>
      <c r="AK58" s="170">
        <f t="shared" si="6"/>
        <v>26255</v>
      </c>
      <c r="AL58" s="270">
        <f>63+62</f>
        <v>125</v>
      </c>
      <c r="AM58" s="170">
        <v>26255</v>
      </c>
      <c r="AN58" s="270">
        <v>0</v>
      </c>
      <c r="AO58" s="170">
        <f t="shared" si="2"/>
        <v>0</v>
      </c>
      <c r="AP58" s="233"/>
      <c r="AQ58" s="233"/>
      <c r="AR58" s="170">
        <v>210.04</v>
      </c>
      <c r="AS58" s="170">
        <f t="shared" si="3"/>
        <v>0</v>
      </c>
      <c r="AT58" s="208">
        <v>0</v>
      </c>
      <c r="AU58" s="170">
        <f t="shared" si="4"/>
        <v>0</v>
      </c>
      <c r="AV58" s="233">
        <f t="shared" si="5"/>
        <v>0</v>
      </c>
    </row>
    <row r="59" spans="1:48" s="62" customFormat="1" ht="26.25" hidden="1" customHeight="1">
      <c r="A59" s="59"/>
      <c r="B59" s="60"/>
      <c r="C59" s="60"/>
      <c r="D59" s="22"/>
      <c r="E59" s="79" t="s">
        <v>24</v>
      </c>
      <c r="F59" s="51" t="s">
        <v>249</v>
      </c>
      <c r="G59" s="275" t="s">
        <v>146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145</v>
      </c>
      <c r="V59" s="115">
        <v>1381</v>
      </c>
      <c r="W59" s="114">
        <v>43047</v>
      </c>
      <c r="X59" s="115" t="s">
        <v>144</v>
      </c>
      <c r="Y59" s="221">
        <v>43201</v>
      </c>
      <c r="Z59" s="115"/>
      <c r="AA59" s="115"/>
      <c r="AB59" s="22">
        <v>0</v>
      </c>
      <c r="AC59" s="170">
        <v>0</v>
      </c>
      <c r="AD59" s="208">
        <v>80</v>
      </c>
      <c r="AE59" s="170">
        <v>16803.2</v>
      </c>
      <c r="AF59" s="208"/>
      <c r="AG59" s="170"/>
      <c r="AH59" s="208"/>
      <c r="AI59" s="170"/>
      <c r="AJ59" s="232"/>
      <c r="AK59" s="170">
        <f t="shared" si="6"/>
        <v>16803.2</v>
      </c>
      <c r="AL59" s="270">
        <v>80</v>
      </c>
      <c r="AM59" s="170">
        <v>16803.2</v>
      </c>
      <c r="AN59" s="270">
        <v>0</v>
      </c>
      <c r="AO59" s="170">
        <f t="shared" si="2"/>
        <v>0</v>
      </c>
      <c r="AP59" s="233"/>
      <c r="AQ59" s="233"/>
      <c r="AR59" s="170">
        <f>AM59/AL59</f>
        <v>210.04000000000002</v>
      </c>
      <c r="AS59" s="170">
        <f t="shared" si="3"/>
        <v>0</v>
      </c>
      <c r="AT59" s="208">
        <v>0</v>
      </c>
      <c r="AU59" s="170">
        <f t="shared" si="4"/>
        <v>0</v>
      </c>
      <c r="AV59" s="233">
        <f t="shared" si="5"/>
        <v>0</v>
      </c>
    </row>
    <row r="60" spans="1:48" s="62" customFormat="1" ht="26.25" hidden="1" customHeight="1">
      <c r="A60" s="59"/>
      <c r="B60" s="60"/>
      <c r="C60" s="60"/>
      <c r="D60" s="22"/>
      <c r="E60" s="79" t="s">
        <v>24</v>
      </c>
      <c r="F60" s="51" t="s">
        <v>249</v>
      </c>
      <c r="G60" s="275" t="s">
        <v>146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148</v>
      </c>
      <c r="V60" s="115">
        <v>546</v>
      </c>
      <c r="W60" s="114">
        <v>43182</v>
      </c>
      <c r="X60" s="115" t="s">
        <v>149</v>
      </c>
      <c r="Y60" s="221">
        <v>43201</v>
      </c>
      <c r="Z60" s="115" t="s">
        <v>147</v>
      </c>
      <c r="AA60" s="221">
        <v>43252</v>
      </c>
      <c r="AB60" s="22">
        <v>0</v>
      </c>
      <c r="AC60" s="170">
        <v>0</v>
      </c>
      <c r="AD60" s="208">
        <v>10</v>
      </c>
      <c r="AE60" s="170">
        <v>2038.7</v>
      </c>
      <c r="AF60" s="208"/>
      <c r="AG60" s="170"/>
      <c r="AH60" s="208"/>
      <c r="AI60" s="170"/>
      <c r="AJ60" s="232"/>
      <c r="AK60" s="170">
        <f t="shared" si="6"/>
        <v>2038.7</v>
      </c>
      <c r="AL60" s="270">
        <v>10</v>
      </c>
      <c r="AM60" s="170">
        <v>2038.7</v>
      </c>
      <c r="AN60" s="270">
        <v>0</v>
      </c>
      <c r="AO60" s="170">
        <f t="shared" si="2"/>
        <v>0</v>
      </c>
      <c r="AP60" s="233"/>
      <c r="AQ60" s="233"/>
      <c r="AR60" s="170">
        <f>AM60/AL60</f>
        <v>203.87</v>
      </c>
      <c r="AS60" s="170">
        <f t="shared" si="3"/>
        <v>0</v>
      </c>
      <c r="AT60" s="208">
        <v>0</v>
      </c>
      <c r="AU60" s="170">
        <f t="shared" si="4"/>
        <v>0</v>
      </c>
      <c r="AV60" s="233">
        <f t="shared" si="5"/>
        <v>0</v>
      </c>
    </row>
    <row r="61" spans="1:48" s="62" customFormat="1" ht="26.25" customHeight="1">
      <c r="A61" s="59"/>
      <c r="B61" s="60"/>
      <c r="C61" s="60"/>
      <c r="D61" s="22"/>
      <c r="E61" s="79" t="s">
        <v>24</v>
      </c>
      <c r="F61" s="162" t="s">
        <v>68</v>
      </c>
      <c r="G61" s="222" t="s">
        <v>146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148</v>
      </c>
      <c r="V61" s="115">
        <v>834</v>
      </c>
      <c r="W61" s="114">
        <v>43222</v>
      </c>
      <c r="X61" s="193" t="s">
        <v>162</v>
      </c>
      <c r="Y61" s="200">
        <v>43242</v>
      </c>
      <c r="Z61" s="193"/>
      <c r="AA61" s="193"/>
      <c r="AB61" s="22">
        <v>0</v>
      </c>
      <c r="AC61" s="170">
        <v>0</v>
      </c>
      <c r="AD61" s="209">
        <v>10</v>
      </c>
      <c r="AE61" s="194">
        <v>2100.4</v>
      </c>
      <c r="AF61" s="209"/>
      <c r="AG61" s="194"/>
      <c r="AH61" s="209"/>
      <c r="AI61" s="194"/>
      <c r="AJ61" s="232"/>
      <c r="AK61" s="170">
        <f t="shared" si="6"/>
        <v>2100.4</v>
      </c>
      <c r="AL61" s="272">
        <v>0</v>
      </c>
      <c r="AM61" s="212">
        <v>0</v>
      </c>
      <c r="AN61" s="269">
        <v>10</v>
      </c>
      <c r="AO61" s="217">
        <f t="shared" si="2"/>
        <v>2100.4</v>
      </c>
      <c r="AP61" s="232"/>
      <c r="AQ61" s="229"/>
      <c r="AR61" s="212">
        <v>210.04</v>
      </c>
      <c r="AS61" s="212">
        <f t="shared" si="3"/>
        <v>0</v>
      </c>
      <c r="AT61" s="227">
        <v>10</v>
      </c>
      <c r="AU61" s="228">
        <f t="shared" si="4"/>
        <v>2100.4</v>
      </c>
      <c r="AV61" s="279">
        <f t="shared" si="5"/>
        <v>10</v>
      </c>
    </row>
    <row r="62" spans="1:48" s="62" customFormat="1" ht="26.25" customHeight="1">
      <c r="A62" s="59"/>
      <c r="B62" s="60"/>
      <c r="C62" s="60"/>
      <c r="D62" s="22"/>
      <c r="E62" s="79" t="s">
        <v>24</v>
      </c>
      <c r="F62" s="162" t="s">
        <v>68</v>
      </c>
      <c r="G62" s="222" t="s">
        <v>146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148</v>
      </c>
      <c r="V62" s="115">
        <v>1006</v>
      </c>
      <c r="W62" s="114">
        <v>43244</v>
      </c>
      <c r="X62" s="193" t="s">
        <v>179</v>
      </c>
      <c r="Y62" s="200">
        <v>43285</v>
      </c>
      <c r="Z62" s="193"/>
      <c r="AA62" s="193"/>
      <c r="AB62" s="22">
        <v>0</v>
      </c>
      <c r="AC62" s="170">
        <v>0</v>
      </c>
      <c r="AD62" s="209">
        <v>5</v>
      </c>
      <c r="AE62" s="194">
        <v>1019.35</v>
      </c>
      <c r="AF62" s="209"/>
      <c r="AG62" s="194"/>
      <c r="AH62" s="209"/>
      <c r="AI62" s="194"/>
      <c r="AJ62" s="232"/>
      <c r="AK62" s="170">
        <f t="shared" si="6"/>
        <v>1019.35</v>
      </c>
      <c r="AL62" s="272">
        <v>0</v>
      </c>
      <c r="AM62" s="212">
        <v>0</v>
      </c>
      <c r="AN62" s="269">
        <v>5</v>
      </c>
      <c r="AO62" s="217">
        <f t="shared" si="2"/>
        <v>1019.35</v>
      </c>
      <c r="AP62" s="232"/>
      <c r="AQ62" s="229"/>
      <c r="AR62" s="212">
        <v>203.87</v>
      </c>
      <c r="AS62" s="212">
        <f t="shared" si="3"/>
        <v>0</v>
      </c>
      <c r="AT62" s="227">
        <v>5</v>
      </c>
      <c r="AU62" s="228">
        <f t="shared" si="4"/>
        <v>1019.35</v>
      </c>
      <c r="AV62" s="279">
        <f t="shared" si="5"/>
        <v>5</v>
      </c>
    </row>
    <row r="63" spans="1:48" s="62" customFormat="1" ht="25.5" hidden="1" customHeight="1">
      <c r="A63" s="59"/>
      <c r="B63" s="60"/>
      <c r="C63" s="60"/>
      <c r="D63" s="22"/>
      <c r="E63" s="79" t="s">
        <v>24</v>
      </c>
      <c r="F63" s="51" t="s">
        <v>247</v>
      </c>
      <c r="G63" s="275" t="s">
        <v>114</v>
      </c>
      <c r="H63" s="115" t="s">
        <v>91</v>
      </c>
      <c r="I63" s="115" t="s">
        <v>91</v>
      </c>
      <c r="J63" s="115">
        <v>360</v>
      </c>
      <c r="K63" s="115">
        <v>1</v>
      </c>
      <c r="L63" s="276">
        <v>303.16000000000003</v>
      </c>
      <c r="M63" s="277">
        <f t="shared" si="0"/>
        <v>360</v>
      </c>
      <c r="N63" s="276">
        <f t="shared" si="1"/>
        <v>109137.60000000001</v>
      </c>
      <c r="O63" s="115">
        <v>180</v>
      </c>
      <c r="P63" s="276">
        <v>49667.4</v>
      </c>
      <c r="Q63" s="115">
        <v>360</v>
      </c>
      <c r="R63" s="276">
        <v>107470.8</v>
      </c>
      <c r="S63" s="115">
        <v>90</v>
      </c>
      <c r="T63" s="276">
        <v>27284.400000000001</v>
      </c>
      <c r="U63" s="278" t="s">
        <v>115</v>
      </c>
      <c r="V63" s="115">
        <v>1583</v>
      </c>
      <c r="W63" s="114">
        <v>43082</v>
      </c>
      <c r="X63" s="115" t="s">
        <v>113</v>
      </c>
      <c r="Y63" s="221">
        <v>43109</v>
      </c>
      <c r="Z63" s="115" t="s">
        <v>110</v>
      </c>
      <c r="AA63" s="221">
        <v>43111</v>
      </c>
      <c r="AB63" s="22">
        <v>0</v>
      </c>
      <c r="AC63" s="170">
        <v>0</v>
      </c>
      <c r="AD63" s="208">
        <v>8</v>
      </c>
      <c r="AE63" s="170">
        <v>2388</v>
      </c>
      <c r="AF63" s="208"/>
      <c r="AG63" s="170"/>
      <c r="AH63" s="208"/>
      <c r="AI63" s="170"/>
      <c r="AJ63" s="232"/>
      <c r="AK63" s="170">
        <f t="shared" si="6"/>
        <v>2388</v>
      </c>
      <c r="AL63" s="270">
        <v>0</v>
      </c>
      <c r="AM63" s="170">
        <v>0</v>
      </c>
      <c r="AN63" s="270">
        <v>8</v>
      </c>
      <c r="AO63" s="170">
        <f t="shared" si="2"/>
        <v>2388</v>
      </c>
      <c r="AP63" s="233"/>
      <c r="AQ63" s="233"/>
      <c r="AR63" s="170">
        <v>298.5</v>
      </c>
      <c r="AS63" s="170">
        <f t="shared" si="3"/>
        <v>0</v>
      </c>
      <c r="AT63" s="233">
        <f>8-8</f>
        <v>0</v>
      </c>
      <c r="AU63" s="386">
        <f t="shared" si="4"/>
        <v>0</v>
      </c>
      <c r="AV63" s="233">
        <f t="shared" si="5"/>
        <v>0</v>
      </c>
    </row>
    <row r="64" spans="1:48" s="62" customFormat="1" ht="25.5" hidden="1" customHeight="1">
      <c r="A64" s="59"/>
      <c r="B64" s="60"/>
      <c r="C64" s="60"/>
      <c r="D64" s="22"/>
      <c r="E64" s="79" t="s">
        <v>24</v>
      </c>
      <c r="F64" s="51" t="s">
        <v>247</v>
      </c>
      <c r="G64" s="275" t="s">
        <v>114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137</v>
      </c>
      <c r="V64" s="115">
        <v>427</v>
      </c>
      <c r="W64" s="114">
        <v>43164</v>
      </c>
      <c r="X64" s="115" t="s">
        <v>138</v>
      </c>
      <c r="Y64" s="221">
        <v>43164</v>
      </c>
      <c r="Z64" s="115"/>
      <c r="AA64" s="115"/>
      <c r="AB64" s="22">
        <v>0</v>
      </c>
      <c r="AC64" s="170">
        <v>0</v>
      </c>
      <c r="AD64" s="208">
        <v>34</v>
      </c>
      <c r="AE64" s="170">
        <v>10149</v>
      </c>
      <c r="AF64" s="208"/>
      <c r="AG64" s="170"/>
      <c r="AH64" s="208"/>
      <c r="AI64" s="170"/>
      <c r="AJ64" s="232"/>
      <c r="AK64" s="170">
        <f t="shared" si="6"/>
        <v>10149</v>
      </c>
      <c r="AL64" s="270">
        <v>0</v>
      </c>
      <c r="AM64" s="170">
        <v>0</v>
      </c>
      <c r="AN64" s="270">
        <v>34</v>
      </c>
      <c r="AO64" s="170">
        <f t="shared" si="2"/>
        <v>10149</v>
      </c>
      <c r="AP64" s="233"/>
      <c r="AQ64" s="233"/>
      <c r="AR64" s="170">
        <v>298.5</v>
      </c>
      <c r="AS64" s="170">
        <f t="shared" si="3"/>
        <v>0</v>
      </c>
      <c r="AT64" s="233">
        <f>34-34</f>
        <v>0</v>
      </c>
      <c r="AU64" s="386">
        <f t="shared" si="4"/>
        <v>0</v>
      </c>
      <c r="AV64" s="233">
        <f t="shared" si="5"/>
        <v>0</v>
      </c>
    </row>
    <row r="65" spans="1:48" s="62" customFormat="1" ht="25.5" customHeight="1">
      <c r="A65" s="59"/>
      <c r="B65" s="60"/>
      <c r="C65" s="60"/>
      <c r="D65" s="22"/>
      <c r="E65" s="79" t="s">
        <v>24</v>
      </c>
      <c r="F65" s="140" t="s">
        <v>55</v>
      </c>
      <c r="G65" s="222" t="s">
        <v>114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153</v>
      </c>
      <c r="V65" s="115">
        <v>613</v>
      </c>
      <c r="W65" s="114">
        <v>43193</v>
      </c>
      <c r="X65" s="193">
        <v>97</v>
      </c>
      <c r="Y65" s="200">
        <v>43202</v>
      </c>
      <c r="Z65" s="193" t="s">
        <v>154</v>
      </c>
      <c r="AA65" s="200">
        <v>43214</v>
      </c>
      <c r="AB65" s="22">
        <v>0</v>
      </c>
      <c r="AC65" s="170">
        <v>0</v>
      </c>
      <c r="AD65" s="209">
        <v>270</v>
      </c>
      <c r="AE65" s="194">
        <v>80595</v>
      </c>
      <c r="AF65" s="209"/>
      <c r="AG65" s="194"/>
      <c r="AH65" s="209"/>
      <c r="AI65" s="194"/>
      <c r="AJ65" s="232"/>
      <c r="AK65" s="170">
        <f t="shared" si="6"/>
        <v>80595</v>
      </c>
      <c r="AL65" s="272">
        <v>0</v>
      </c>
      <c r="AM65" s="212">
        <v>0</v>
      </c>
      <c r="AN65" s="269">
        <v>270</v>
      </c>
      <c r="AO65" s="217">
        <f t="shared" si="2"/>
        <v>80595</v>
      </c>
      <c r="AP65" s="232"/>
      <c r="AQ65" s="229"/>
      <c r="AR65" s="212">
        <v>298.5</v>
      </c>
      <c r="AS65" s="212">
        <f t="shared" si="3"/>
        <v>0</v>
      </c>
      <c r="AT65" s="227">
        <f>270-16-60-180</f>
        <v>14</v>
      </c>
      <c r="AU65" s="228">
        <f t="shared" si="4"/>
        <v>4179</v>
      </c>
      <c r="AV65" s="279">
        <f t="shared" si="5"/>
        <v>14</v>
      </c>
    </row>
    <row r="66" spans="1:48" s="62" customFormat="1" ht="25.5" customHeight="1">
      <c r="A66" s="59"/>
      <c r="B66" s="60"/>
      <c r="C66" s="60"/>
      <c r="D66" s="22"/>
      <c r="E66" s="79" t="s">
        <v>24</v>
      </c>
      <c r="F66" s="140" t="s">
        <v>55</v>
      </c>
      <c r="G66" s="222" t="s">
        <v>114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115</v>
      </c>
      <c r="V66" s="115">
        <v>612</v>
      </c>
      <c r="W66" s="114">
        <v>43193</v>
      </c>
      <c r="X66" s="193">
        <v>97</v>
      </c>
      <c r="Y66" s="200">
        <v>43202</v>
      </c>
      <c r="Z66" s="193" t="s">
        <v>155</v>
      </c>
      <c r="AA66" s="200">
        <v>43214</v>
      </c>
      <c r="AB66" s="22">
        <v>0</v>
      </c>
      <c r="AC66" s="170">
        <v>0</v>
      </c>
      <c r="AD66" s="209">
        <v>40</v>
      </c>
      <c r="AE66" s="194">
        <v>11940</v>
      </c>
      <c r="AF66" s="209"/>
      <c r="AG66" s="194"/>
      <c r="AH66" s="209"/>
      <c r="AI66" s="194"/>
      <c r="AJ66" s="232"/>
      <c r="AK66" s="170">
        <f t="shared" si="6"/>
        <v>11940</v>
      </c>
      <c r="AL66" s="272">
        <v>0</v>
      </c>
      <c r="AM66" s="212">
        <v>0</v>
      </c>
      <c r="AN66" s="269">
        <v>40</v>
      </c>
      <c r="AO66" s="217">
        <f t="shared" si="2"/>
        <v>11940</v>
      </c>
      <c r="AP66" s="232"/>
      <c r="AQ66" s="229"/>
      <c r="AR66" s="212">
        <v>298.5</v>
      </c>
      <c r="AS66" s="212">
        <f t="shared" si="3"/>
        <v>0</v>
      </c>
      <c r="AT66" s="227">
        <v>40</v>
      </c>
      <c r="AU66" s="228">
        <f t="shared" si="4"/>
        <v>11940</v>
      </c>
      <c r="AV66" s="279">
        <f t="shared" si="5"/>
        <v>40</v>
      </c>
    </row>
    <row r="67" spans="1:48" s="62" customFormat="1" ht="25.5" customHeight="1">
      <c r="A67" s="59"/>
      <c r="B67" s="60"/>
      <c r="C67" s="60"/>
      <c r="D67" s="22"/>
      <c r="E67" s="79"/>
      <c r="F67" s="140" t="s">
        <v>55</v>
      </c>
      <c r="G67" s="222" t="s">
        <v>114</v>
      </c>
      <c r="H67" s="193"/>
      <c r="I67" s="193"/>
      <c r="J67" s="193"/>
      <c r="K67" s="193"/>
      <c r="L67" s="243"/>
      <c r="M67" s="242"/>
      <c r="N67" s="243"/>
      <c r="O67" s="193"/>
      <c r="P67" s="243"/>
      <c r="Q67" s="193"/>
      <c r="R67" s="243"/>
      <c r="S67" s="193"/>
      <c r="T67" s="243"/>
      <c r="U67" s="203" t="s">
        <v>244</v>
      </c>
      <c r="V67" s="115"/>
      <c r="W67" s="114"/>
      <c r="X67" s="193"/>
      <c r="Y67" s="200"/>
      <c r="Z67" s="193"/>
      <c r="AA67" s="200"/>
      <c r="AB67" s="22"/>
      <c r="AC67" s="170"/>
      <c r="AD67" s="209"/>
      <c r="AE67" s="194"/>
      <c r="AF67" s="209"/>
      <c r="AG67" s="194"/>
      <c r="AH67" s="209"/>
      <c r="AI67" s="194"/>
      <c r="AJ67" s="232"/>
      <c r="AK67" s="170"/>
      <c r="AL67" s="272"/>
      <c r="AM67" s="212"/>
      <c r="AN67" s="269"/>
      <c r="AO67" s="217"/>
      <c r="AP67" s="232"/>
      <c r="AQ67" s="229"/>
      <c r="AR67" s="212"/>
      <c r="AS67" s="212"/>
      <c r="AT67" s="227">
        <v>6</v>
      </c>
      <c r="AU67" s="228"/>
      <c r="AV67" s="279">
        <f t="shared" si="5"/>
        <v>6</v>
      </c>
    </row>
    <row r="68" spans="1:48" s="62" customFormat="1" ht="25.5" hidden="1" customHeight="1">
      <c r="A68" s="59"/>
      <c r="B68" s="60"/>
      <c r="C68" s="60"/>
      <c r="D68" s="22"/>
      <c r="E68" s="79" t="s">
        <v>24</v>
      </c>
      <c r="F68" s="51" t="s">
        <v>250</v>
      </c>
      <c r="G68" s="275" t="s">
        <v>140</v>
      </c>
      <c r="H68" s="115" t="s">
        <v>91</v>
      </c>
      <c r="I68" s="115" t="s">
        <v>91</v>
      </c>
      <c r="J68" s="115">
        <v>1080</v>
      </c>
      <c r="K68" s="115">
        <v>2</v>
      </c>
      <c r="L68" s="276">
        <v>304.58999999999997</v>
      </c>
      <c r="M68" s="277">
        <f t="shared" si="0"/>
        <v>2160</v>
      </c>
      <c r="N68" s="276">
        <f t="shared" si="1"/>
        <v>657914.39999999991</v>
      </c>
      <c r="O68" s="115">
        <v>180</v>
      </c>
      <c r="P68" s="276">
        <v>49908.6</v>
      </c>
      <c r="Q68" s="115">
        <v>1080</v>
      </c>
      <c r="R68" s="276">
        <v>323838</v>
      </c>
      <c r="S68" s="115">
        <v>602</v>
      </c>
      <c r="T68" s="276">
        <v>183363.18</v>
      </c>
      <c r="U68" s="278" t="s">
        <v>139</v>
      </c>
      <c r="V68" s="115">
        <v>427</v>
      </c>
      <c r="W68" s="114">
        <v>43164</v>
      </c>
      <c r="X68" s="115" t="s">
        <v>138</v>
      </c>
      <c r="Y68" s="221">
        <v>43164</v>
      </c>
      <c r="Z68" s="115"/>
      <c r="AA68" s="115"/>
      <c r="AB68" s="22">
        <v>0</v>
      </c>
      <c r="AC68" s="170">
        <v>0</v>
      </c>
      <c r="AD68" s="208">
        <v>56</v>
      </c>
      <c r="AE68" s="170">
        <v>16794.400000000001</v>
      </c>
      <c r="AF68" s="208"/>
      <c r="AG68" s="170"/>
      <c r="AH68" s="208"/>
      <c r="AI68" s="170"/>
      <c r="AJ68" s="232"/>
      <c r="AK68" s="170">
        <f t="shared" si="6"/>
        <v>16794.400000000001</v>
      </c>
      <c r="AL68" s="270">
        <v>0</v>
      </c>
      <c r="AM68" s="170">
        <v>0</v>
      </c>
      <c r="AN68" s="270">
        <v>56</v>
      </c>
      <c r="AO68" s="170">
        <f t="shared" si="2"/>
        <v>16794.400000000001</v>
      </c>
      <c r="AP68" s="233"/>
      <c r="AQ68" s="233"/>
      <c r="AR68" s="170">
        <v>299.89999999999998</v>
      </c>
      <c r="AS68" s="170">
        <f t="shared" si="3"/>
        <v>0</v>
      </c>
      <c r="AT68" s="233">
        <f>18-18</f>
        <v>0</v>
      </c>
      <c r="AU68" s="386">
        <f t="shared" si="4"/>
        <v>0</v>
      </c>
      <c r="AV68" s="279">
        <f t="shared" si="5"/>
        <v>0</v>
      </c>
    </row>
    <row r="69" spans="1:48" s="62" customFormat="1" ht="25.5" customHeight="1">
      <c r="A69" s="59"/>
      <c r="B69" s="60"/>
      <c r="C69" s="60"/>
      <c r="D69" s="22"/>
      <c r="E69" s="79"/>
      <c r="F69" s="140" t="s">
        <v>55</v>
      </c>
      <c r="G69" s="222" t="s">
        <v>114</v>
      </c>
      <c r="H69" s="115"/>
      <c r="I69" s="115"/>
      <c r="J69" s="115"/>
      <c r="K69" s="115"/>
      <c r="L69" s="276"/>
      <c r="M69" s="277"/>
      <c r="N69" s="276"/>
      <c r="O69" s="115"/>
      <c r="P69" s="276"/>
      <c r="Q69" s="115"/>
      <c r="R69" s="276"/>
      <c r="S69" s="115"/>
      <c r="T69" s="276"/>
      <c r="U69" s="203" t="s">
        <v>263</v>
      </c>
      <c r="V69" s="115"/>
      <c r="W69" s="114"/>
      <c r="X69" s="115"/>
      <c r="Y69" s="221"/>
      <c r="Z69" s="115"/>
      <c r="AA69" s="115"/>
      <c r="AB69" s="22"/>
      <c r="AC69" s="170"/>
      <c r="AD69" s="208"/>
      <c r="AE69" s="170"/>
      <c r="AF69" s="208"/>
      <c r="AG69" s="170"/>
      <c r="AH69" s="208"/>
      <c r="AI69" s="170"/>
      <c r="AJ69" s="232">
        <v>36</v>
      </c>
      <c r="AK69" s="170"/>
      <c r="AL69" s="270"/>
      <c r="AM69" s="170"/>
      <c r="AN69" s="270"/>
      <c r="AO69" s="170"/>
      <c r="AP69" s="233"/>
      <c r="AQ69" s="233"/>
      <c r="AR69" s="170"/>
      <c r="AS69" s="170"/>
      <c r="AT69" s="227">
        <v>36</v>
      </c>
      <c r="AU69" s="386"/>
      <c r="AV69" s="279">
        <f>AT69</f>
        <v>36</v>
      </c>
    </row>
    <row r="70" spans="1:48" s="62" customFormat="1" ht="25.5" customHeight="1">
      <c r="A70" s="59"/>
      <c r="B70" s="60"/>
      <c r="C70" s="60"/>
      <c r="D70" s="22"/>
      <c r="E70" s="79"/>
      <c r="F70" s="140" t="s">
        <v>55</v>
      </c>
      <c r="G70" s="222" t="s">
        <v>114</v>
      </c>
      <c r="H70" s="115"/>
      <c r="I70" s="115"/>
      <c r="J70" s="115"/>
      <c r="K70" s="115"/>
      <c r="L70" s="276"/>
      <c r="M70" s="277"/>
      <c r="N70" s="276"/>
      <c r="O70" s="115"/>
      <c r="P70" s="276"/>
      <c r="Q70" s="115"/>
      <c r="R70" s="276"/>
      <c r="S70" s="115"/>
      <c r="T70" s="276"/>
      <c r="U70" s="203" t="s">
        <v>262</v>
      </c>
      <c r="V70" s="115"/>
      <c r="W70" s="114"/>
      <c r="X70" s="115"/>
      <c r="Y70" s="221"/>
      <c r="Z70" s="115"/>
      <c r="AA70" s="115"/>
      <c r="AB70" s="22"/>
      <c r="AC70" s="170"/>
      <c r="AD70" s="208"/>
      <c r="AE70" s="170"/>
      <c r="AF70" s="208"/>
      <c r="AG70" s="170"/>
      <c r="AH70" s="208"/>
      <c r="AI70" s="170"/>
      <c r="AJ70" s="232">
        <v>234</v>
      </c>
      <c r="AK70" s="170"/>
      <c r="AL70" s="270"/>
      <c r="AM70" s="170"/>
      <c r="AN70" s="270"/>
      <c r="AO70" s="170"/>
      <c r="AP70" s="233"/>
      <c r="AQ70" s="233"/>
      <c r="AR70" s="170"/>
      <c r="AS70" s="170"/>
      <c r="AT70" s="227">
        <v>234</v>
      </c>
      <c r="AU70" s="386"/>
      <c r="AV70" s="279">
        <f t="shared" si="5"/>
        <v>234</v>
      </c>
    </row>
    <row r="71" spans="1:48" s="62" customFormat="1" ht="25.5" customHeight="1">
      <c r="A71" s="59"/>
      <c r="B71" s="60"/>
      <c r="C71" s="60"/>
      <c r="D71" s="22"/>
      <c r="E71" s="79"/>
      <c r="F71" s="140" t="s">
        <v>55</v>
      </c>
      <c r="G71" s="222" t="s">
        <v>114</v>
      </c>
      <c r="H71" s="115"/>
      <c r="I71" s="115"/>
      <c r="J71" s="115"/>
      <c r="K71" s="115"/>
      <c r="L71" s="276"/>
      <c r="M71" s="277"/>
      <c r="N71" s="276"/>
      <c r="O71" s="115"/>
      <c r="P71" s="276"/>
      <c r="Q71" s="115"/>
      <c r="R71" s="276"/>
      <c r="S71" s="115"/>
      <c r="T71" s="276"/>
      <c r="U71" s="203" t="s">
        <v>263</v>
      </c>
      <c r="V71" s="115"/>
      <c r="W71" s="114"/>
      <c r="X71" s="115"/>
      <c r="Y71" s="221"/>
      <c r="Z71" s="115"/>
      <c r="AA71" s="115"/>
      <c r="AB71" s="22"/>
      <c r="AC71" s="170"/>
      <c r="AD71" s="208"/>
      <c r="AE71" s="170"/>
      <c r="AF71" s="208"/>
      <c r="AG71" s="170"/>
      <c r="AH71" s="208"/>
      <c r="AI71" s="170"/>
      <c r="AJ71" s="232">
        <v>14</v>
      </c>
      <c r="AK71" s="170"/>
      <c r="AL71" s="270"/>
      <c r="AM71" s="170"/>
      <c r="AN71" s="270"/>
      <c r="AO71" s="170"/>
      <c r="AP71" s="233"/>
      <c r="AQ71" s="233"/>
      <c r="AR71" s="170"/>
      <c r="AS71" s="170"/>
      <c r="AT71" s="227">
        <v>14</v>
      </c>
      <c r="AU71" s="386"/>
      <c r="AV71" s="279">
        <f t="shared" si="5"/>
        <v>14</v>
      </c>
    </row>
    <row r="72" spans="1:48" s="62" customFormat="1" ht="25.5" customHeight="1">
      <c r="A72" s="59"/>
      <c r="B72" s="60"/>
      <c r="C72" s="60"/>
      <c r="D72" s="22"/>
      <c r="E72" s="79"/>
      <c r="F72" s="140" t="s">
        <v>55</v>
      </c>
      <c r="G72" s="222" t="s">
        <v>114</v>
      </c>
      <c r="H72" s="115"/>
      <c r="I72" s="115"/>
      <c r="J72" s="115"/>
      <c r="K72" s="115"/>
      <c r="L72" s="276"/>
      <c r="M72" s="277"/>
      <c r="N72" s="276"/>
      <c r="O72" s="115"/>
      <c r="P72" s="276"/>
      <c r="Q72" s="115"/>
      <c r="R72" s="276"/>
      <c r="S72" s="115"/>
      <c r="T72" s="276"/>
      <c r="U72" s="203" t="s">
        <v>283</v>
      </c>
      <c r="V72" s="115"/>
      <c r="W72" s="114"/>
      <c r="X72" s="115"/>
      <c r="Y72" s="221"/>
      <c r="Z72" s="115"/>
      <c r="AA72" s="115"/>
      <c r="AB72" s="22"/>
      <c r="AC72" s="170"/>
      <c r="AD72" s="208"/>
      <c r="AE72" s="170"/>
      <c r="AF72" s="208"/>
      <c r="AG72" s="170"/>
      <c r="AH72" s="208"/>
      <c r="AI72" s="170"/>
      <c r="AJ72" s="232">
        <v>76</v>
      </c>
      <c r="AK72" s="170"/>
      <c r="AL72" s="270"/>
      <c r="AM72" s="170"/>
      <c r="AN72" s="270"/>
      <c r="AO72" s="170"/>
      <c r="AP72" s="233"/>
      <c r="AQ72" s="233"/>
      <c r="AR72" s="170"/>
      <c r="AS72" s="170"/>
      <c r="AT72" s="227">
        <v>76</v>
      </c>
      <c r="AU72" s="386"/>
      <c r="AV72" s="279">
        <f t="shared" si="5"/>
        <v>76</v>
      </c>
    </row>
    <row r="73" spans="1:48" s="62" customFormat="1" ht="25.5" customHeight="1">
      <c r="A73" s="59"/>
      <c r="B73" s="60"/>
      <c r="C73" s="60"/>
      <c r="D73" s="22"/>
      <c r="E73" s="79" t="s">
        <v>24</v>
      </c>
      <c r="F73" s="173" t="s">
        <v>64</v>
      </c>
      <c r="G73" s="222" t="s">
        <v>140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157</v>
      </c>
      <c r="V73" s="115">
        <v>605</v>
      </c>
      <c r="W73" s="114">
        <v>43193</v>
      </c>
      <c r="X73" s="193">
        <v>97</v>
      </c>
      <c r="Y73" s="200">
        <v>43202</v>
      </c>
      <c r="Z73" s="193" t="s">
        <v>158</v>
      </c>
      <c r="AA73" s="200">
        <v>43216</v>
      </c>
      <c r="AB73" s="22">
        <v>0</v>
      </c>
      <c r="AC73" s="170">
        <v>0</v>
      </c>
      <c r="AD73" s="209">
        <v>510</v>
      </c>
      <c r="AE73" s="194">
        <v>152949</v>
      </c>
      <c r="AF73" s="209"/>
      <c r="AG73" s="194"/>
      <c r="AH73" s="209"/>
      <c r="AI73" s="194"/>
      <c r="AJ73" s="232"/>
      <c r="AK73" s="170">
        <f t="shared" si="6"/>
        <v>152949</v>
      </c>
      <c r="AL73" s="272">
        <v>0</v>
      </c>
      <c r="AM73" s="212">
        <v>0</v>
      </c>
      <c r="AN73" s="269">
        <v>510</v>
      </c>
      <c r="AO73" s="217">
        <f t="shared" si="2"/>
        <v>152949</v>
      </c>
      <c r="AP73" s="232"/>
      <c r="AQ73" s="229"/>
      <c r="AR73" s="212">
        <v>299.89999999999998</v>
      </c>
      <c r="AS73" s="212">
        <f t="shared" si="3"/>
        <v>0</v>
      </c>
      <c r="AT73" s="227">
        <f>510-42-60-60-120-60</f>
        <v>168</v>
      </c>
      <c r="AU73" s="228">
        <f t="shared" si="4"/>
        <v>50383.199999999997</v>
      </c>
      <c r="AV73" s="279">
        <f t="shared" si="5"/>
        <v>168</v>
      </c>
    </row>
    <row r="74" spans="1:48" s="62" customFormat="1" ht="25.5" customHeight="1">
      <c r="A74" s="59"/>
      <c r="B74" s="60"/>
      <c r="C74" s="60"/>
      <c r="D74" s="22"/>
      <c r="E74" s="79"/>
      <c r="F74" s="173" t="s">
        <v>64</v>
      </c>
      <c r="G74" s="222" t="s">
        <v>140</v>
      </c>
      <c r="H74" s="193"/>
      <c r="I74" s="193"/>
      <c r="J74" s="193"/>
      <c r="K74" s="193"/>
      <c r="L74" s="243"/>
      <c r="M74" s="242"/>
      <c r="N74" s="243"/>
      <c r="O74" s="193"/>
      <c r="P74" s="243"/>
      <c r="Q74" s="193"/>
      <c r="R74" s="243"/>
      <c r="S74" s="193"/>
      <c r="T74" s="243"/>
      <c r="U74" s="203" t="s">
        <v>244</v>
      </c>
      <c r="V74" s="115"/>
      <c r="W74" s="114"/>
      <c r="X74" s="193"/>
      <c r="Y74" s="200"/>
      <c r="Z74" s="193"/>
      <c r="AA74" s="200"/>
      <c r="AB74" s="22"/>
      <c r="AC74" s="170"/>
      <c r="AD74" s="209"/>
      <c r="AE74" s="194"/>
      <c r="AF74" s="209"/>
      <c r="AG74" s="194"/>
      <c r="AH74" s="209"/>
      <c r="AI74" s="194"/>
      <c r="AJ74" s="232"/>
      <c r="AK74" s="170"/>
      <c r="AL74" s="272"/>
      <c r="AM74" s="212"/>
      <c r="AN74" s="269"/>
      <c r="AO74" s="217"/>
      <c r="AP74" s="232"/>
      <c r="AQ74" s="229"/>
      <c r="AR74" s="212"/>
      <c r="AS74" s="212"/>
      <c r="AT74" s="227">
        <v>368</v>
      </c>
      <c r="AU74" s="228"/>
      <c r="AV74" s="279">
        <f t="shared" si="5"/>
        <v>368</v>
      </c>
    </row>
    <row r="75" spans="1:48" s="62" customFormat="1" ht="25.5" customHeight="1">
      <c r="A75" s="59"/>
      <c r="B75" s="60"/>
      <c r="C75" s="60"/>
      <c r="D75" s="22"/>
      <c r="E75" s="79"/>
      <c r="F75" s="173" t="s">
        <v>64</v>
      </c>
      <c r="G75" s="222" t="s">
        <v>140</v>
      </c>
      <c r="H75" s="193"/>
      <c r="I75" s="193"/>
      <c r="J75" s="193"/>
      <c r="K75" s="193"/>
      <c r="L75" s="243"/>
      <c r="M75" s="242"/>
      <c r="N75" s="243"/>
      <c r="O75" s="193"/>
      <c r="P75" s="243"/>
      <c r="Q75" s="193"/>
      <c r="R75" s="243"/>
      <c r="S75" s="193"/>
      <c r="T75" s="243"/>
      <c r="U75" s="203" t="s">
        <v>264</v>
      </c>
      <c r="V75" s="115"/>
      <c r="W75" s="114"/>
      <c r="X75" s="193"/>
      <c r="Y75" s="200"/>
      <c r="Z75" s="193"/>
      <c r="AA75" s="200"/>
      <c r="AB75" s="22"/>
      <c r="AC75" s="170"/>
      <c r="AD75" s="209"/>
      <c r="AE75" s="194"/>
      <c r="AF75" s="209"/>
      <c r="AG75" s="194"/>
      <c r="AH75" s="209"/>
      <c r="AI75" s="194"/>
      <c r="AJ75" s="232">
        <v>224</v>
      </c>
      <c r="AK75" s="170"/>
      <c r="AL75" s="272"/>
      <c r="AM75" s="212"/>
      <c r="AN75" s="269"/>
      <c r="AO75" s="217"/>
      <c r="AP75" s="232"/>
      <c r="AQ75" s="229"/>
      <c r="AR75" s="212"/>
      <c r="AS75" s="212"/>
      <c r="AT75" s="227">
        <v>224</v>
      </c>
      <c r="AU75" s="228"/>
      <c r="AV75" s="279">
        <f t="shared" si="5"/>
        <v>224</v>
      </c>
    </row>
    <row r="76" spans="1:48" s="62" customFormat="1" ht="25.5" customHeight="1">
      <c r="A76" s="59"/>
      <c r="B76" s="60"/>
      <c r="C76" s="60"/>
      <c r="D76" s="22"/>
      <c r="E76" s="79"/>
      <c r="F76" s="173" t="s">
        <v>64</v>
      </c>
      <c r="G76" s="222" t="s">
        <v>140</v>
      </c>
      <c r="H76" s="193"/>
      <c r="I76" s="193"/>
      <c r="J76" s="193"/>
      <c r="K76" s="193"/>
      <c r="L76" s="243"/>
      <c r="M76" s="242"/>
      <c r="N76" s="243"/>
      <c r="O76" s="193"/>
      <c r="P76" s="243"/>
      <c r="Q76" s="193"/>
      <c r="R76" s="243"/>
      <c r="S76" s="193"/>
      <c r="T76" s="243"/>
      <c r="U76" s="203" t="s">
        <v>244</v>
      </c>
      <c r="V76" s="115"/>
      <c r="W76" s="114"/>
      <c r="X76" s="193"/>
      <c r="Y76" s="200"/>
      <c r="Z76" s="193"/>
      <c r="AA76" s="200"/>
      <c r="AB76" s="22"/>
      <c r="AC76" s="170"/>
      <c r="AD76" s="209"/>
      <c r="AE76" s="194"/>
      <c r="AF76" s="209"/>
      <c r="AG76" s="194"/>
      <c r="AH76" s="209"/>
      <c r="AI76" s="194"/>
      <c r="AJ76" s="232">
        <v>176</v>
      </c>
      <c r="AK76" s="170"/>
      <c r="AL76" s="272"/>
      <c r="AM76" s="212"/>
      <c r="AN76" s="269"/>
      <c r="AO76" s="217"/>
      <c r="AP76" s="232"/>
      <c r="AQ76" s="229"/>
      <c r="AR76" s="212"/>
      <c r="AS76" s="212"/>
      <c r="AT76" s="227">
        <v>176</v>
      </c>
      <c r="AU76" s="228"/>
      <c r="AV76" s="279">
        <f t="shared" si="5"/>
        <v>176</v>
      </c>
    </row>
    <row r="77" spans="1:48" s="62" customFormat="1" ht="25.5" customHeight="1">
      <c r="A77" s="59"/>
      <c r="B77" s="60"/>
      <c r="C77" s="60"/>
      <c r="D77" s="22"/>
      <c r="E77" s="79"/>
      <c r="F77" s="173" t="s">
        <v>64</v>
      </c>
      <c r="G77" s="222" t="s">
        <v>140</v>
      </c>
      <c r="H77" s="193"/>
      <c r="I77" s="193"/>
      <c r="J77" s="193"/>
      <c r="K77" s="193"/>
      <c r="L77" s="243"/>
      <c r="M77" s="242"/>
      <c r="N77" s="243"/>
      <c r="O77" s="193"/>
      <c r="P77" s="243"/>
      <c r="Q77" s="193"/>
      <c r="R77" s="243"/>
      <c r="S77" s="193"/>
      <c r="T77" s="243"/>
      <c r="U77" s="203" t="s">
        <v>285</v>
      </c>
      <c r="V77" s="115"/>
      <c r="W77" s="114"/>
      <c r="X77" s="193"/>
      <c r="Y77" s="200"/>
      <c r="Z77" s="193"/>
      <c r="AA77" s="200"/>
      <c r="AB77" s="22"/>
      <c r="AC77" s="170"/>
      <c r="AD77" s="209"/>
      <c r="AE77" s="194"/>
      <c r="AF77" s="209"/>
      <c r="AG77" s="194"/>
      <c r="AH77" s="209"/>
      <c r="AI77" s="194"/>
      <c r="AJ77" s="232">
        <v>154</v>
      </c>
      <c r="AK77" s="170"/>
      <c r="AL77" s="272"/>
      <c r="AM77" s="212"/>
      <c r="AN77" s="269"/>
      <c r="AO77" s="217"/>
      <c r="AP77" s="232"/>
      <c r="AQ77" s="229"/>
      <c r="AR77" s="212"/>
      <c r="AS77" s="212"/>
      <c r="AT77" s="227">
        <v>154</v>
      </c>
      <c r="AU77" s="228"/>
      <c r="AV77" s="279">
        <f t="shared" si="5"/>
        <v>154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293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>
        <v>84</v>
      </c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84</v>
      </c>
      <c r="AU78" s="228"/>
      <c r="AV78" s="279">
        <f t="shared" si="5"/>
        <v>84</v>
      </c>
    </row>
    <row r="79" spans="1:48" s="62" customFormat="1" ht="31.5">
      <c r="A79" s="59"/>
      <c r="B79" s="60"/>
      <c r="C79" s="60"/>
      <c r="D79" s="22"/>
      <c r="E79" s="79"/>
      <c r="F79" s="150" t="s">
        <v>57</v>
      </c>
      <c r="G79" s="222" t="s">
        <v>121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266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766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166</v>
      </c>
      <c r="AU79" s="228"/>
      <c r="AV79" s="279">
        <f t="shared" si="5"/>
        <v>166</v>
      </c>
    </row>
    <row r="80" spans="1:48" s="62" customFormat="1" ht="31.5">
      <c r="A80" s="59"/>
      <c r="B80" s="60"/>
      <c r="C80" s="60"/>
      <c r="D80" s="22"/>
      <c r="E80" s="79"/>
      <c r="F80" s="150" t="s">
        <v>57</v>
      </c>
      <c r="G80" s="222" t="s">
        <v>121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266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450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450</v>
      </c>
      <c r="AU80" s="228"/>
      <c r="AV80" s="279">
        <f t="shared" si="5"/>
        <v>450</v>
      </c>
    </row>
    <row r="81" spans="1:49" s="62" customFormat="1" ht="31.5">
      <c r="A81" s="59"/>
      <c r="B81" s="60"/>
      <c r="C81" s="60"/>
      <c r="D81" s="22"/>
      <c r="E81" s="79"/>
      <c r="F81" s="150" t="s">
        <v>57</v>
      </c>
      <c r="G81" s="222" t="s">
        <v>279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266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610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610</v>
      </c>
      <c r="AU81" s="228"/>
      <c r="AV81" s="279">
        <f t="shared" si="5"/>
        <v>610</v>
      </c>
    </row>
    <row r="82" spans="1:49" s="62" customFormat="1" ht="31.5">
      <c r="A82" s="59"/>
      <c r="B82" s="60"/>
      <c r="C82" s="60"/>
      <c r="D82" s="22"/>
      <c r="E82" s="79"/>
      <c r="F82" s="150" t="s">
        <v>57</v>
      </c>
      <c r="G82" s="222" t="s">
        <v>279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284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723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723</v>
      </c>
      <c r="AU82" s="228"/>
      <c r="AV82" s="279">
        <f t="shared" si="5"/>
        <v>723</v>
      </c>
    </row>
    <row r="83" spans="1:49" s="62" customFormat="1" ht="26.25" customHeight="1">
      <c r="A83" s="59"/>
      <c r="B83" s="60"/>
      <c r="C83" s="137"/>
      <c r="D83" s="192"/>
      <c r="E83" s="79" t="s">
        <v>24</v>
      </c>
      <c r="F83" s="525" t="s">
        <v>58</v>
      </c>
      <c r="G83" s="222" t="s">
        <v>123</v>
      </c>
      <c r="H83" s="193" t="s">
        <v>91</v>
      </c>
      <c r="I83" s="193" t="s">
        <v>91</v>
      </c>
      <c r="J83" s="193">
        <v>5</v>
      </c>
      <c r="K83" s="193">
        <v>5</v>
      </c>
      <c r="L83" s="243">
        <v>2899.28</v>
      </c>
      <c r="M83" s="242">
        <f>J83*K83</f>
        <v>25</v>
      </c>
      <c r="N83" s="243">
        <f t="shared" si="1"/>
        <v>72482</v>
      </c>
      <c r="O83" s="193">
        <v>4</v>
      </c>
      <c r="P83" s="243">
        <v>8377.6</v>
      </c>
      <c r="Q83" s="193"/>
      <c r="R83" s="243"/>
      <c r="S83" s="193"/>
      <c r="T83" s="243"/>
      <c r="U83" s="527" t="s">
        <v>122</v>
      </c>
      <c r="V83" s="193">
        <v>1745</v>
      </c>
      <c r="W83" s="532">
        <v>43096</v>
      </c>
      <c r="X83" s="193" t="s">
        <v>117</v>
      </c>
      <c r="Y83" s="200">
        <v>43109</v>
      </c>
      <c r="Z83" s="193" t="s">
        <v>118</v>
      </c>
      <c r="AA83" s="200">
        <v>43133</v>
      </c>
      <c r="AB83" s="192">
        <v>0</v>
      </c>
      <c r="AC83" s="530">
        <v>0</v>
      </c>
      <c r="AD83" s="531">
        <v>4</v>
      </c>
      <c r="AE83" s="530">
        <v>9062.24</v>
      </c>
      <c r="AF83" s="531"/>
      <c r="AG83" s="530"/>
      <c r="AH83" s="531"/>
      <c r="AI83" s="530"/>
      <c r="AJ83" s="247"/>
      <c r="AK83" s="170">
        <f t="shared" si="6"/>
        <v>9062.24</v>
      </c>
      <c r="AL83" s="272">
        <v>0</v>
      </c>
      <c r="AM83" s="212">
        <v>0</v>
      </c>
      <c r="AN83" s="269">
        <v>4</v>
      </c>
      <c r="AO83" s="217">
        <f t="shared" ref="AO83:AO88" si="8">AC83+AK83-AM83</f>
        <v>9062.24</v>
      </c>
      <c r="AP83" s="232"/>
      <c r="AQ83" s="229"/>
      <c r="AR83" s="212">
        <v>2265.56</v>
      </c>
      <c r="AS83" s="212">
        <f t="shared" si="3"/>
        <v>0</v>
      </c>
      <c r="AT83" s="247">
        <v>4</v>
      </c>
      <c r="AU83" s="249">
        <f t="shared" si="4"/>
        <v>9062.24</v>
      </c>
      <c r="AV83" s="247">
        <f t="shared" si="5"/>
        <v>4</v>
      </c>
      <c r="AW83" s="533" t="s">
        <v>286</v>
      </c>
    </row>
    <row r="84" spans="1:49" s="62" customFormat="1" ht="26.25" customHeight="1">
      <c r="A84" s="59"/>
      <c r="B84" s="60"/>
      <c r="C84" s="137"/>
      <c r="D84" s="192"/>
      <c r="E84" s="79" t="s">
        <v>24</v>
      </c>
      <c r="F84" s="525" t="s">
        <v>58</v>
      </c>
      <c r="G84" s="222" t="s">
        <v>123</v>
      </c>
      <c r="H84" s="193" t="s">
        <v>91</v>
      </c>
      <c r="I84" s="193" t="s">
        <v>91</v>
      </c>
      <c r="J84" s="193"/>
      <c r="K84" s="193"/>
      <c r="L84" s="243"/>
      <c r="M84" s="242">
        <f t="shared" ref="M84:M88" si="9">J84*K84</f>
        <v>0</v>
      </c>
      <c r="N84" s="243">
        <f>L84*M84</f>
        <v>0</v>
      </c>
      <c r="O84" s="193"/>
      <c r="P84" s="243"/>
      <c r="Q84" s="193"/>
      <c r="R84" s="243"/>
      <c r="S84" s="193"/>
      <c r="T84" s="243"/>
      <c r="U84" s="527" t="s">
        <v>170</v>
      </c>
      <c r="V84" s="193">
        <v>834</v>
      </c>
      <c r="W84" s="532">
        <v>43222</v>
      </c>
      <c r="X84" s="193" t="s">
        <v>162</v>
      </c>
      <c r="Y84" s="200">
        <v>43242</v>
      </c>
      <c r="Z84" s="193"/>
      <c r="AA84" s="193"/>
      <c r="AB84" s="192">
        <v>0</v>
      </c>
      <c r="AC84" s="530">
        <v>0</v>
      </c>
      <c r="AD84" s="531">
        <v>2</v>
      </c>
      <c r="AE84" s="530">
        <v>4531.12</v>
      </c>
      <c r="AF84" s="531"/>
      <c r="AG84" s="530"/>
      <c r="AH84" s="531"/>
      <c r="AI84" s="530"/>
      <c r="AJ84" s="247"/>
      <c r="AK84" s="170">
        <f t="shared" si="6"/>
        <v>4531.12</v>
      </c>
      <c r="AL84" s="272">
        <v>0</v>
      </c>
      <c r="AM84" s="212">
        <v>0</v>
      </c>
      <c r="AN84" s="269">
        <v>2</v>
      </c>
      <c r="AO84" s="217">
        <f t="shared" si="8"/>
        <v>4531.12</v>
      </c>
      <c r="AP84" s="232"/>
      <c r="AQ84" s="229"/>
      <c r="AR84" s="212">
        <v>2265.56</v>
      </c>
      <c r="AS84" s="212">
        <f t="shared" si="3"/>
        <v>0</v>
      </c>
      <c r="AT84" s="247">
        <v>2</v>
      </c>
      <c r="AU84" s="249">
        <f t="shared" si="4"/>
        <v>4531.12</v>
      </c>
      <c r="AV84" s="247">
        <f t="shared" si="5"/>
        <v>2</v>
      </c>
    </row>
    <row r="85" spans="1:49" s="62" customFormat="1" ht="26.25" customHeight="1">
      <c r="A85" s="59"/>
      <c r="B85" s="60"/>
      <c r="C85" s="60"/>
      <c r="D85" s="22"/>
      <c r="E85" s="79" t="s">
        <v>24</v>
      </c>
      <c r="F85" s="161" t="s">
        <v>61</v>
      </c>
      <c r="G85" s="222" t="s">
        <v>127</v>
      </c>
      <c r="H85" s="193" t="s">
        <v>91</v>
      </c>
      <c r="I85" s="193" t="s">
        <v>91</v>
      </c>
      <c r="J85" s="193">
        <v>48</v>
      </c>
      <c r="K85" s="193">
        <v>3</v>
      </c>
      <c r="L85" s="243">
        <v>71.97</v>
      </c>
      <c r="M85" s="242">
        <f t="shared" si="9"/>
        <v>144</v>
      </c>
      <c r="N85" s="243">
        <f t="shared" ref="N85:N88" si="10">L85*M85</f>
        <v>10363.68</v>
      </c>
      <c r="O85" s="193">
        <v>14</v>
      </c>
      <c r="P85" s="243">
        <v>714.98</v>
      </c>
      <c r="Q85" s="193"/>
      <c r="R85" s="243"/>
      <c r="S85" s="193"/>
      <c r="T85" s="243"/>
      <c r="U85" s="203" t="s">
        <v>128</v>
      </c>
      <c r="V85" s="115">
        <v>135</v>
      </c>
      <c r="W85" s="114">
        <v>42761</v>
      </c>
      <c r="X85" s="193" t="s">
        <v>126</v>
      </c>
      <c r="Y85" s="200">
        <v>43130</v>
      </c>
      <c r="Z85" s="193"/>
      <c r="AA85" s="193"/>
      <c r="AB85" s="22">
        <v>0</v>
      </c>
      <c r="AC85" s="170">
        <v>0</v>
      </c>
      <c r="AD85" s="209">
        <v>14</v>
      </c>
      <c r="AE85" s="194">
        <v>774.48</v>
      </c>
      <c r="AF85" s="209"/>
      <c r="AG85" s="194"/>
      <c r="AH85" s="209"/>
      <c r="AI85" s="194"/>
      <c r="AJ85" s="232"/>
      <c r="AK85" s="170">
        <f t="shared" si="6"/>
        <v>774.48</v>
      </c>
      <c r="AL85" s="272">
        <v>0</v>
      </c>
      <c r="AM85" s="212">
        <v>0</v>
      </c>
      <c r="AN85" s="269">
        <v>14</v>
      </c>
      <c r="AO85" s="217">
        <f t="shared" si="8"/>
        <v>774.48</v>
      </c>
      <c r="AP85" s="232"/>
      <c r="AQ85" s="229"/>
      <c r="AR85" s="212">
        <v>55.32</v>
      </c>
      <c r="AS85" s="212">
        <f t="shared" si="3"/>
        <v>0</v>
      </c>
      <c r="AT85" s="227">
        <f>14-2</f>
        <v>12</v>
      </c>
      <c r="AU85" s="228">
        <f t="shared" si="4"/>
        <v>663.84</v>
      </c>
      <c r="AV85" s="279">
        <f t="shared" si="5"/>
        <v>12</v>
      </c>
    </row>
    <row r="86" spans="1:49" s="62" customFormat="1" ht="26.25" customHeight="1">
      <c r="A86" s="59"/>
      <c r="B86" s="60"/>
      <c r="C86" s="60"/>
      <c r="D86" s="22"/>
      <c r="E86" s="79" t="s">
        <v>24</v>
      </c>
      <c r="F86" s="161" t="s">
        <v>61</v>
      </c>
      <c r="G86" s="222" t="s">
        <v>127</v>
      </c>
      <c r="H86" s="193" t="s">
        <v>91</v>
      </c>
      <c r="I86" s="193" t="s">
        <v>91</v>
      </c>
      <c r="J86" s="193"/>
      <c r="K86" s="193"/>
      <c r="L86" s="243"/>
      <c r="M86" s="242">
        <f t="shared" si="9"/>
        <v>0</v>
      </c>
      <c r="N86" s="243">
        <f t="shared" si="10"/>
        <v>0</v>
      </c>
      <c r="O86" s="193"/>
      <c r="P86" s="243"/>
      <c r="Q86" s="193"/>
      <c r="R86" s="243"/>
      <c r="S86" s="193"/>
      <c r="T86" s="243"/>
      <c r="U86" s="203" t="s">
        <v>171</v>
      </c>
      <c r="V86" s="115">
        <v>834</v>
      </c>
      <c r="W86" s="114">
        <v>43222</v>
      </c>
      <c r="X86" s="193" t="s">
        <v>162</v>
      </c>
      <c r="Y86" s="200">
        <v>43242</v>
      </c>
      <c r="Z86" s="193"/>
      <c r="AA86" s="193"/>
      <c r="AB86" s="22">
        <v>0</v>
      </c>
      <c r="AC86" s="170">
        <v>0</v>
      </c>
      <c r="AD86" s="209">
        <v>26</v>
      </c>
      <c r="AE86" s="194">
        <v>1438.32</v>
      </c>
      <c r="AF86" s="209"/>
      <c r="AG86" s="194"/>
      <c r="AH86" s="209"/>
      <c r="AI86" s="194"/>
      <c r="AJ86" s="232"/>
      <c r="AK86" s="170">
        <f t="shared" si="6"/>
        <v>1438.32</v>
      </c>
      <c r="AL86" s="272">
        <v>0</v>
      </c>
      <c r="AM86" s="212">
        <v>0</v>
      </c>
      <c r="AN86" s="269">
        <v>26</v>
      </c>
      <c r="AO86" s="217">
        <f t="shared" si="8"/>
        <v>1438.32</v>
      </c>
      <c r="AP86" s="232"/>
      <c r="AQ86" s="229"/>
      <c r="AR86" s="212">
        <v>55.32</v>
      </c>
      <c r="AS86" s="212">
        <f t="shared" si="3"/>
        <v>0</v>
      </c>
      <c r="AT86" s="227">
        <v>26</v>
      </c>
      <c r="AU86" s="228">
        <f t="shared" si="4"/>
        <v>1438.32</v>
      </c>
      <c r="AV86" s="279">
        <f t="shared" si="5"/>
        <v>26</v>
      </c>
    </row>
    <row r="87" spans="1:49" s="62" customFormat="1" ht="26.25" customHeight="1">
      <c r="A87" s="59"/>
      <c r="B87" s="60"/>
      <c r="C87" s="60"/>
      <c r="D87" s="22"/>
      <c r="E87" s="79" t="s">
        <v>24</v>
      </c>
      <c r="F87" s="179" t="s">
        <v>62</v>
      </c>
      <c r="G87" s="222" t="s">
        <v>129</v>
      </c>
      <c r="H87" s="193" t="s">
        <v>91</v>
      </c>
      <c r="I87" s="193" t="s">
        <v>91</v>
      </c>
      <c r="J87" s="193">
        <v>24</v>
      </c>
      <c r="K87" s="193">
        <v>4</v>
      </c>
      <c r="L87" s="243">
        <v>984.1</v>
      </c>
      <c r="M87" s="242">
        <f t="shared" si="9"/>
        <v>96</v>
      </c>
      <c r="N87" s="243">
        <f t="shared" si="10"/>
        <v>94473.600000000006</v>
      </c>
      <c r="O87" s="193">
        <v>6</v>
      </c>
      <c r="P87" s="243">
        <v>4721.3999999999996</v>
      </c>
      <c r="Q87" s="193"/>
      <c r="R87" s="243"/>
      <c r="S87" s="193"/>
      <c r="T87" s="243"/>
      <c r="U87" s="203" t="s">
        <v>130</v>
      </c>
      <c r="V87" s="115">
        <v>135</v>
      </c>
      <c r="W87" s="114">
        <v>42761</v>
      </c>
      <c r="X87" s="193" t="s">
        <v>126</v>
      </c>
      <c r="Y87" s="200">
        <v>43130</v>
      </c>
      <c r="Z87" s="193"/>
      <c r="AA87" s="193"/>
      <c r="AB87" s="22">
        <v>0</v>
      </c>
      <c r="AC87" s="170">
        <v>0</v>
      </c>
      <c r="AD87" s="209">
        <v>6</v>
      </c>
      <c r="AE87" s="194">
        <v>4549.08</v>
      </c>
      <c r="AF87" s="209"/>
      <c r="AG87" s="194"/>
      <c r="AH87" s="209"/>
      <c r="AI87" s="194"/>
      <c r="AJ87" s="232"/>
      <c r="AK87" s="170">
        <f t="shared" si="6"/>
        <v>4549.08</v>
      </c>
      <c r="AL87" s="272">
        <v>0</v>
      </c>
      <c r="AM87" s="212">
        <v>0</v>
      </c>
      <c r="AN87" s="269">
        <v>6</v>
      </c>
      <c r="AO87" s="217">
        <f t="shared" si="8"/>
        <v>4549.08</v>
      </c>
      <c r="AP87" s="232"/>
      <c r="AQ87" s="229"/>
      <c r="AR87" s="212">
        <v>758.18</v>
      </c>
      <c r="AS87" s="212">
        <f t="shared" si="3"/>
        <v>0</v>
      </c>
      <c r="AT87" s="227">
        <v>6</v>
      </c>
      <c r="AU87" s="228">
        <f t="shared" si="4"/>
        <v>4549.08</v>
      </c>
      <c r="AV87" s="279">
        <f t="shared" si="5"/>
        <v>6</v>
      </c>
    </row>
    <row r="88" spans="1:49" s="62" customFormat="1" ht="26.25" customHeight="1">
      <c r="A88" s="59"/>
      <c r="B88" s="60"/>
      <c r="C88" s="60"/>
      <c r="D88" s="22"/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/>
      <c r="K88" s="193"/>
      <c r="L88" s="243"/>
      <c r="M88" s="242">
        <f t="shared" si="9"/>
        <v>0</v>
      </c>
      <c r="N88" s="243">
        <f t="shared" si="10"/>
        <v>0</v>
      </c>
      <c r="O88" s="193"/>
      <c r="P88" s="243"/>
      <c r="Q88" s="193"/>
      <c r="R88" s="243"/>
      <c r="S88" s="193"/>
      <c r="T88" s="243"/>
      <c r="U88" s="203" t="s">
        <v>172</v>
      </c>
      <c r="V88" s="115">
        <v>834</v>
      </c>
      <c r="W88" s="114">
        <v>43222</v>
      </c>
      <c r="X88" s="193" t="s">
        <v>162</v>
      </c>
      <c r="Y88" s="200">
        <v>43242</v>
      </c>
      <c r="Z88" s="193"/>
      <c r="AA88" s="193"/>
      <c r="AB88" s="22">
        <v>0</v>
      </c>
      <c r="AC88" s="170">
        <v>0</v>
      </c>
      <c r="AD88" s="209">
        <v>10</v>
      </c>
      <c r="AE88" s="194">
        <v>7581.8</v>
      </c>
      <c r="AF88" s="209"/>
      <c r="AG88" s="194"/>
      <c r="AH88" s="209"/>
      <c r="AI88" s="194"/>
      <c r="AJ88" s="232"/>
      <c r="AK88" s="170">
        <f t="shared" si="6"/>
        <v>7581.8</v>
      </c>
      <c r="AL88" s="272">
        <v>0</v>
      </c>
      <c r="AM88" s="212">
        <v>0</v>
      </c>
      <c r="AN88" s="269">
        <v>10</v>
      </c>
      <c r="AO88" s="217">
        <f t="shared" si="8"/>
        <v>7581.8</v>
      </c>
      <c r="AP88" s="232"/>
      <c r="AQ88" s="229"/>
      <c r="AR88" s="212">
        <v>758.18</v>
      </c>
      <c r="AS88" s="212">
        <f t="shared" ref="AS88" si="11">AQ88*AR88</f>
        <v>0</v>
      </c>
      <c r="AT88" s="227">
        <v>10</v>
      </c>
      <c r="AU88" s="228">
        <f t="shared" ref="AU88" si="12">AT88*AR88</f>
        <v>7581.7999999999993</v>
      </c>
      <c r="AV88" s="279">
        <f t="shared" ref="AV88" si="13">AT88</f>
        <v>10</v>
      </c>
    </row>
    <row r="89" spans="1:49" s="62" customFormat="1" ht="26.25" customHeight="1">
      <c r="A89" s="59"/>
      <c r="B89" s="60"/>
      <c r="C89" s="60"/>
      <c r="D89" s="22"/>
      <c r="E89" s="79"/>
      <c r="F89" s="179" t="s">
        <v>62</v>
      </c>
      <c r="G89" s="222" t="s">
        <v>129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/>
      <c r="V89" s="115"/>
      <c r="W89" s="114"/>
      <c r="X89" s="193"/>
      <c r="Y89" s="200"/>
      <c r="Z89" s="193"/>
      <c r="AA89" s="193"/>
      <c r="AB89" s="22"/>
      <c r="AC89" s="170"/>
      <c r="AD89" s="209"/>
      <c r="AE89" s="194"/>
      <c r="AF89" s="209"/>
      <c r="AG89" s="194"/>
      <c r="AH89" s="209"/>
      <c r="AI89" s="194"/>
      <c r="AJ89" s="232"/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4</v>
      </c>
      <c r="AU89" s="228"/>
      <c r="AV89" s="279">
        <v>4</v>
      </c>
    </row>
    <row r="90" spans="1:49" s="251" customFormat="1" ht="21" customHeight="1">
      <c r="A90" s="20" t="s">
        <v>11</v>
      </c>
      <c r="B90" s="20"/>
      <c r="C90" s="20"/>
      <c r="D90" s="695" t="s">
        <v>34</v>
      </c>
      <c r="E90" s="696"/>
      <c r="F90" s="697"/>
      <c r="G90" s="246"/>
      <c r="H90" s="246"/>
      <c r="I90" s="246"/>
      <c r="J90" s="246"/>
      <c r="K90" s="247">
        <f>SUM(K17:K89)</f>
        <v>25</v>
      </c>
      <c r="L90" s="248"/>
      <c r="M90" s="246"/>
      <c r="N90" s="249">
        <f>SUM(N17:N89)</f>
        <v>2265445.04</v>
      </c>
      <c r="O90" s="248"/>
      <c r="P90" s="249">
        <f>SUM(P17:P89)</f>
        <v>1348643.8</v>
      </c>
      <c r="Q90" s="248"/>
      <c r="R90" s="249">
        <f>SUM(R17:R89)</f>
        <v>1035525.6</v>
      </c>
      <c r="S90" s="248"/>
      <c r="T90" s="249">
        <f>SUM(T17:T89)</f>
        <v>493933.38</v>
      </c>
      <c r="U90" s="291" t="s">
        <v>156</v>
      </c>
      <c r="V90" s="291" t="s">
        <v>156</v>
      </c>
      <c r="W90" s="291" t="s">
        <v>156</v>
      </c>
      <c r="X90" s="250" t="s">
        <v>156</v>
      </c>
      <c r="Y90" s="250" t="s">
        <v>156</v>
      </c>
      <c r="Z90" s="250" t="s">
        <v>156</v>
      </c>
      <c r="AA90" s="250" t="s">
        <v>156</v>
      </c>
      <c r="AB90" s="176">
        <f>SUM(AB17:AB35)</f>
        <v>140</v>
      </c>
      <c r="AC90" s="171">
        <f>SUM(AC17:AC63)</f>
        <v>77947.959999999992</v>
      </c>
      <c r="AD90" s="210">
        <f t="shared" ref="AD90:AQ90" si="14">SUM(AD17:AD89)</f>
        <v>5451</v>
      </c>
      <c r="AE90" s="195">
        <f t="shared" si="14"/>
        <v>1221314.8600000001</v>
      </c>
      <c r="AF90" s="210">
        <f t="shared" si="14"/>
        <v>0</v>
      </c>
      <c r="AG90" s="195">
        <f t="shared" si="14"/>
        <v>0</v>
      </c>
      <c r="AH90" s="210">
        <f t="shared" si="14"/>
        <v>0</v>
      </c>
      <c r="AI90" s="195">
        <f t="shared" si="14"/>
        <v>0</v>
      </c>
      <c r="AJ90" s="210">
        <f t="shared" si="14"/>
        <v>4977</v>
      </c>
      <c r="AK90" s="175">
        <f t="shared" si="14"/>
        <v>1221314.8600000001</v>
      </c>
      <c r="AL90" s="213">
        <f t="shared" si="14"/>
        <v>742</v>
      </c>
      <c r="AM90" s="214">
        <f t="shared" si="14"/>
        <v>175808.55000000005</v>
      </c>
      <c r="AN90" s="218">
        <f t="shared" si="14"/>
        <v>4849</v>
      </c>
      <c r="AO90" s="219">
        <f t="shared" si="14"/>
        <v>1106861.3400000005</v>
      </c>
      <c r="AP90" s="286">
        <f t="shared" si="14"/>
        <v>0</v>
      </c>
      <c r="AQ90" s="287">
        <f t="shared" si="14"/>
        <v>0</v>
      </c>
      <c r="AR90" s="226" t="s">
        <v>156</v>
      </c>
      <c r="AS90" s="226">
        <f>SUM(AS17:AS89)</f>
        <v>0</v>
      </c>
      <c r="AT90" s="227">
        <f>SUM(AT17:AT89)</f>
        <v>7578</v>
      </c>
      <c r="AU90" s="228">
        <f>SUM(AU17:AU89)</f>
        <v>692725.49</v>
      </c>
      <c r="AV90" s="510">
        <f>SUM(AV17:AV89)</f>
        <v>7578</v>
      </c>
    </row>
    <row r="91" spans="1:49" s="336" customFormat="1" ht="21" customHeight="1">
      <c r="A91" s="20"/>
      <c r="B91" s="20"/>
      <c r="C91" s="20"/>
      <c r="D91" s="294"/>
      <c r="E91" s="294"/>
      <c r="F91" s="294"/>
      <c r="G91" s="330"/>
      <c r="H91" s="330"/>
      <c r="I91" s="330"/>
      <c r="J91" s="330"/>
      <c r="K91" s="331"/>
      <c r="L91" s="332"/>
      <c r="M91" s="330"/>
      <c r="N91" s="333"/>
      <c r="O91" s="332"/>
      <c r="P91" s="333"/>
      <c r="Q91" s="332"/>
      <c r="R91" s="333"/>
      <c r="S91" s="332"/>
      <c r="T91" s="333"/>
      <c r="U91" s="295"/>
      <c r="V91" s="295"/>
      <c r="W91" s="295"/>
      <c r="X91" s="295"/>
      <c r="Y91" s="295"/>
      <c r="Z91" s="295"/>
      <c r="AA91" s="295"/>
      <c r="AB91" s="296"/>
      <c r="AC91" s="297"/>
      <c r="AD91" s="296"/>
      <c r="AE91" s="297"/>
      <c r="AF91" s="296"/>
      <c r="AG91" s="297"/>
      <c r="AH91" s="296"/>
      <c r="AI91" s="297"/>
      <c r="AJ91" s="478"/>
      <c r="AK91" s="299"/>
      <c r="AL91" s="334"/>
      <c r="AM91" s="297"/>
      <c r="AN91" s="296"/>
      <c r="AO91" s="297"/>
      <c r="AP91" s="298"/>
      <c r="AQ91" s="335"/>
      <c r="AR91" s="333"/>
      <c r="AS91" s="333"/>
      <c r="AT91" s="331"/>
      <c r="AU91" s="333"/>
      <c r="AV91" s="331"/>
    </row>
    <row r="92" spans="1:49" s="336" customFormat="1" ht="21" hidden="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47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9" s="292" customFormat="1" ht="20.25" hidden="1">
      <c r="A93" s="301"/>
      <c r="B93" s="301"/>
      <c r="C93" s="301"/>
      <c r="D93" s="302"/>
      <c r="E93" s="301"/>
      <c r="F93" s="303" t="s">
        <v>205</v>
      </c>
      <c r="G93" s="303"/>
      <c r="H93" s="303" t="s">
        <v>208</v>
      </c>
      <c r="I93" s="303"/>
      <c r="J93" s="304"/>
      <c r="K93" s="304"/>
      <c r="L93" s="304"/>
      <c r="M93" s="304"/>
      <c r="N93" s="304"/>
      <c r="O93" s="304"/>
      <c r="P93" s="304"/>
      <c r="Q93" s="304"/>
      <c r="R93" s="304"/>
      <c r="S93" s="304"/>
      <c r="T93" s="304"/>
      <c r="U93" s="303"/>
      <c r="V93" s="303"/>
      <c r="X93" s="303"/>
      <c r="Y93" s="303"/>
      <c r="Z93" s="303"/>
      <c r="AA93" s="303" t="s">
        <v>208</v>
      </c>
      <c r="AB93" s="303"/>
      <c r="AC93" s="303"/>
      <c r="AD93" s="303"/>
      <c r="AE93" s="303"/>
      <c r="AF93" s="303"/>
      <c r="AG93" s="303"/>
      <c r="AH93" s="303"/>
      <c r="AI93" s="303"/>
      <c r="AJ93" s="479"/>
      <c r="AK93" s="303"/>
      <c r="AL93" s="301"/>
      <c r="AM93" s="303"/>
      <c r="AN93" s="305"/>
      <c r="AO93" s="306"/>
      <c r="AP93" s="307"/>
      <c r="AQ93" s="302"/>
      <c r="AR93" s="308"/>
      <c r="AS93" s="308"/>
      <c r="AT93" s="302"/>
      <c r="AU93" s="302"/>
      <c r="AV93" s="302"/>
    </row>
    <row r="94" spans="1:49" s="292" customFormat="1" ht="20.25" hidden="1">
      <c r="A94" s="301"/>
      <c r="B94" s="301"/>
      <c r="C94" s="301"/>
      <c r="D94" s="302"/>
      <c r="E94" s="301"/>
      <c r="F94" s="303"/>
      <c r="G94" s="303"/>
      <c r="H94" s="303"/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/>
      <c r="AB94" s="303"/>
      <c r="AC94" s="303"/>
      <c r="AD94" s="303"/>
      <c r="AE94" s="303"/>
      <c r="AF94" s="303"/>
      <c r="AG94" s="303"/>
      <c r="AH94" s="303"/>
      <c r="AI94" s="303"/>
      <c r="AJ94" s="479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9" s="292" customFormat="1" ht="20.25" hidden="1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9" s="292" customFormat="1" ht="15" hidden="1" customHeight="1">
      <c r="A96" s="309"/>
      <c r="B96" s="309"/>
      <c r="C96" s="309"/>
      <c r="D96" s="302"/>
      <c r="E96" s="309"/>
      <c r="F96" s="310"/>
      <c r="G96" s="310"/>
      <c r="H96" s="308"/>
      <c r="I96" s="308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8"/>
      <c r="V96" s="311"/>
      <c r="AA96" s="311"/>
      <c r="AJ96" s="480"/>
      <c r="AK96" s="312"/>
      <c r="AL96" s="309"/>
      <c r="AM96" s="31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8" hidden="1" customHeight="1">
      <c r="A97" s="314" t="s">
        <v>12</v>
      </c>
      <c r="B97" s="314"/>
      <c r="C97" s="314"/>
      <c r="D97" s="315"/>
      <c r="E97" s="314"/>
      <c r="F97" s="316" t="s">
        <v>206</v>
      </c>
      <c r="G97" s="316"/>
      <c r="H97" s="736" t="s">
        <v>209</v>
      </c>
      <c r="I97" s="736"/>
      <c r="J97" s="736"/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8"/>
      <c r="V97" s="319"/>
      <c r="X97" s="303"/>
      <c r="Y97" s="316"/>
      <c r="Z97" s="316"/>
      <c r="AA97" s="320" t="s">
        <v>209</v>
      </c>
      <c r="AB97" s="316"/>
      <c r="AC97" s="316"/>
      <c r="AD97" s="316"/>
      <c r="AE97" s="316"/>
      <c r="AF97" s="316"/>
      <c r="AG97" s="316"/>
      <c r="AH97" s="316"/>
      <c r="AI97" s="316"/>
      <c r="AJ97" s="481"/>
      <c r="AK97" s="316"/>
      <c r="AL97" s="314"/>
      <c r="AM97" s="316"/>
      <c r="AN97" s="314"/>
      <c r="AO97" s="321"/>
      <c r="AP97" s="307"/>
      <c r="AQ97" s="302"/>
      <c r="AR97" s="308"/>
      <c r="AS97" s="308"/>
      <c r="AT97" s="302"/>
      <c r="AU97" s="302"/>
      <c r="AV97" s="302"/>
    </row>
    <row r="98" spans="1:48" s="62" customFormat="1" ht="18.75" hidden="1">
      <c r="A98" s="11"/>
      <c r="B98" s="11"/>
      <c r="C98" s="11"/>
      <c r="D98" s="255"/>
      <c r="E98" s="11"/>
      <c r="F98" s="322"/>
      <c r="G98" s="322"/>
      <c r="H98" s="322"/>
      <c r="I98" s="322"/>
      <c r="J98" s="323"/>
      <c r="K98" s="323"/>
      <c r="L98" s="323"/>
      <c r="M98" s="323"/>
      <c r="N98" s="323"/>
      <c r="O98" s="323"/>
      <c r="P98" s="323"/>
      <c r="Q98" s="323"/>
      <c r="R98" s="323"/>
      <c r="S98" s="323"/>
      <c r="T98" s="323"/>
      <c r="U98" s="322"/>
      <c r="V98" s="322"/>
      <c r="W98" s="322"/>
      <c r="X98" s="322"/>
      <c r="Y98" s="322"/>
      <c r="Z98" s="322"/>
      <c r="AA98" s="322"/>
      <c r="AB98" s="322"/>
      <c r="AC98" s="322"/>
      <c r="AD98" s="322"/>
      <c r="AE98" s="322"/>
      <c r="AF98" s="322"/>
      <c r="AG98" s="322"/>
      <c r="AH98" s="322"/>
      <c r="AI98" s="322"/>
      <c r="AJ98" s="482"/>
      <c r="AK98" s="322"/>
      <c r="AL98" s="324"/>
      <c r="AM98" s="322"/>
      <c r="AN98" s="281"/>
      <c r="AO98" s="325"/>
      <c r="AP98" s="326"/>
      <c r="AQ98" s="562"/>
      <c r="AR98" s="255"/>
      <c r="AS98" s="255"/>
      <c r="AT98" s="562"/>
      <c r="AU98" s="562"/>
      <c r="AV98" s="562"/>
    </row>
    <row r="99" spans="1:48" s="103" customFormat="1" ht="57.75" hidden="1" customHeight="1">
      <c r="A99" s="11"/>
      <c r="B99" s="11"/>
      <c r="C99" s="11"/>
      <c r="D99" s="255"/>
      <c r="E99" s="720" t="s">
        <v>207</v>
      </c>
      <c r="F99" s="720"/>
      <c r="G99" s="327"/>
      <c r="H99" s="328"/>
      <c r="I99" s="328"/>
      <c r="J99" s="328"/>
      <c r="K99" s="328"/>
      <c r="L99" s="328"/>
      <c r="M99" s="328"/>
      <c r="N99" s="328"/>
      <c r="O99" s="328"/>
      <c r="P99" s="328"/>
      <c r="Q99" s="328"/>
      <c r="R99" s="328"/>
      <c r="S99" s="328"/>
      <c r="T99" s="328"/>
      <c r="U99" s="328"/>
      <c r="V99" s="329"/>
      <c r="W99" s="329"/>
      <c r="X99" s="11"/>
      <c r="Y99" s="11"/>
      <c r="Z99" s="11"/>
      <c r="AA99" s="11"/>
      <c r="AB99" s="11"/>
      <c r="AC99" s="11"/>
      <c r="AD99" s="11"/>
      <c r="AE99" s="11"/>
      <c r="AF99" s="11"/>
      <c r="AG99" s="11"/>
      <c r="AH99" s="11"/>
      <c r="AI99" s="11"/>
      <c r="AJ99" s="483"/>
      <c r="AK99" s="11"/>
      <c r="AL99" s="281"/>
      <c r="AM99" s="11"/>
      <c r="AN99" s="281"/>
      <c r="AP99" s="326"/>
      <c r="AQ99" s="562"/>
      <c r="AR99" s="255"/>
      <c r="AS99" s="255"/>
      <c r="AT99" s="562"/>
      <c r="AU99" s="562"/>
      <c r="AV99" s="562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0:F90"/>
    <mergeCell ref="H97:J97"/>
    <mergeCell ref="U14:U16"/>
    <mergeCell ref="V14:W15"/>
    <mergeCell ref="O15:P15"/>
    <mergeCell ref="Q15:R15"/>
    <mergeCell ref="S15:T15"/>
    <mergeCell ref="E99:F9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1"/>
  <sheetViews>
    <sheetView view="pageBreakPreview" topLeftCell="C62" zoomScale="70" zoomScaleSheetLayoutView="70" workbookViewId="0">
      <selection activeCell="AX90" sqref="AX90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68"/>
      <c r="AR1" s="255"/>
      <c r="AS1" s="255"/>
      <c r="AT1" s="568"/>
      <c r="AU1" s="568"/>
      <c r="AV1" s="56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6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6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310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68"/>
      <c r="AR12" s="255"/>
      <c r="AS12" s="255"/>
      <c r="AT12" s="569"/>
      <c r="AU12" s="569"/>
      <c r="AV12" s="56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309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69"/>
      <c r="D16" s="748"/>
      <c r="E16" s="685"/>
      <c r="F16" s="685"/>
      <c r="G16" s="202"/>
      <c r="H16" s="201"/>
      <c r="I16" s="201"/>
      <c r="J16" s="241"/>
      <c r="K16" s="241"/>
      <c r="L16" s="241"/>
      <c r="M16" s="564" t="s">
        <v>77</v>
      </c>
      <c r="N16" s="564" t="s">
        <v>78</v>
      </c>
      <c r="O16" s="564" t="s">
        <v>77</v>
      </c>
      <c r="P16" s="564" t="s">
        <v>78</v>
      </c>
      <c r="Q16" s="564" t="s">
        <v>77</v>
      </c>
      <c r="R16" s="564" t="s">
        <v>78</v>
      </c>
      <c r="S16" s="564" t="s">
        <v>77</v>
      </c>
      <c r="T16" s="56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65" t="s">
        <v>77</v>
      </c>
      <c r="AE16" s="565" t="s">
        <v>78</v>
      </c>
      <c r="AF16" s="205" t="s">
        <v>77</v>
      </c>
      <c r="AG16" s="205" t="s">
        <v>78</v>
      </c>
      <c r="AH16" s="565" t="s">
        <v>77</v>
      </c>
      <c r="AI16" s="565" t="s">
        <v>78</v>
      </c>
      <c r="AJ16" s="207" t="s">
        <v>96</v>
      </c>
      <c r="AK16" s="96" t="s">
        <v>19</v>
      </c>
      <c r="AL16" s="566" t="s">
        <v>96</v>
      </c>
      <c r="AM16" s="566" t="s">
        <v>19</v>
      </c>
      <c r="AN16" s="216" t="s">
        <v>96</v>
      </c>
      <c r="AO16" s="216" t="s">
        <v>19</v>
      </c>
      <c r="AP16" s="207" t="s">
        <v>96</v>
      </c>
      <c r="AQ16" s="566" t="s">
        <v>96</v>
      </c>
      <c r="AR16" s="566" t="s">
        <v>107</v>
      </c>
      <c r="AS16" s="566" t="s">
        <v>19</v>
      </c>
      <c r="AT16" s="567" t="s">
        <v>96</v>
      </c>
      <c r="AU16" s="56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7" si="0">J18*K18</f>
        <v>0</v>
      </c>
      <c r="N18" s="243">
        <f t="shared" ref="N18:N77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7" si="2">AC18+AK18-AM18</f>
        <v>1026.1600000000001</v>
      </c>
      <c r="AP18" s="232"/>
      <c r="AQ18" s="229"/>
      <c r="AR18" s="212">
        <v>1026.1600000000001</v>
      </c>
      <c r="AS18" s="212">
        <f t="shared" ref="AS18:AS91" si="3">AQ18*AR18</f>
        <v>0</v>
      </c>
      <c r="AT18" s="247">
        <v>1</v>
      </c>
      <c r="AU18" s="228">
        <f t="shared" ref="AU18:AU91" si="4">AT18*AR18</f>
        <v>1026.1600000000001</v>
      </c>
      <c r="AV18" s="247">
        <f t="shared" ref="AV18:AV91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1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40</v>
      </c>
      <c r="AU31" s="228"/>
      <c r="AV31" s="279">
        <f t="shared" si="5"/>
        <v>40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39</v>
      </c>
      <c r="AU36" s="228"/>
      <c r="AV36" s="279">
        <f t="shared" si="5"/>
        <v>39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49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hidden="1" customHeight="1">
      <c r="A50" s="59"/>
      <c r="B50" s="60"/>
      <c r="C50" s="60"/>
      <c r="D50" s="22"/>
      <c r="E50" s="79"/>
      <c r="F50" s="51" t="s">
        <v>44</v>
      </c>
      <c r="G50" s="275" t="s">
        <v>116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/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3"/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v>0</v>
      </c>
      <c r="AU50" s="386"/>
      <c r="AV50" s="233">
        <v>0</v>
      </c>
    </row>
    <row r="51" spans="1:49" s="62" customFormat="1" ht="27" hidden="1" customHeight="1">
      <c r="A51" s="59"/>
      <c r="B51" s="60"/>
      <c r="C51" s="60"/>
      <c r="D51" s="22"/>
      <c r="E51" s="79" t="s">
        <v>24</v>
      </c>
      <c r="F51" s="51" t="s">
        <v>52</v>
      </c>
      <c r="G51" s="275" t="s">
        <v>111</v>
      </c>
      <c r="H51" s="115" t="s">
        <v>91</v>
      </c>
      <c r="I51" s="115" t="s">
        <v>91</v>
      </c>
      <c r="J51" s="115"/>
      <c r="K51" s="115"/>
      <c r="L51" s="276"/>
      <c r="M51" s="277">
        <f t="shared" si="0"/>
        <v>0</v>
      </c>
      <c r="N51" s="276">
        <f t="shared" si="1"/>
        <v>0</v>
      </c>
      <c r="O51" s="115"/>
      <c r="P51" s="276"/>
      <c r="Q51" s="115"/>
      <c r="R51" s="276"/>
      <c r="S51" s="115"/>
      <c r="T51" s="276"/>
      <c r="U51" s="278" t="s">
        <v>112</v>
      </c>
      <c r="V51" s="115">
        <v>1625</v>
      </c>
      <c r="W51" s="114">
        <v>43087</v>
      </c>
      <c r="X51" s="115" t="s">
        <v>109</v>
      </c>
      <c r="Y51" s="221">
        <v>43109</v>
      </c>
      <c r="Z51" s="115" t="s">
        <v>110</v>
      </c>
      <c r="AA51" s="221">
        <v>43111</v>
      </c>
      <c r="AB51" s="22">
        <v>0</v>
      </c>
      <c r="AC51" s="170">
        <v>0</v>
      </c>
      <c r="AD51" s="208">
        <v>5</v>
      </c>
      <c r="AE51" s="170">
        <v>1010.9</v>
      </c>
      <c r="AF51" s="208"/>
      <c r="AG51" s="170"/>
      <c r="AH51" s="208"/>
      <c r="AI51" s="170"/>
      <c r="AJ51" s="232"/>
      <c r="AK51" s="170">
        <f t="shared" si="6"/>
        <v>1010.9</v>
      </c>
      <c r="AL51" s="270">
        <v>5</v>
      </c>
      <c r="AM51" s="170">
        <v>1010.9</v>
      </c>
      <c r="AN51" s="270">
        <v>0</v>
      </c>
      <c r="AO51" s="170">
        <f t="shared" si="2"/>
        <v>0</v>
      </c>
      <c r="AP51" s="233"/>
      <c r="AQ51" s="233"/>
      <c r="AR51" s="170"/>
      <c r="AS51" s="170">
        <f t="shared" si="3"/>
        <v>0</v>
      </c>
      <c r="AT51" s="208">
        <v>0</v>
      </c>
      <c r="AU51" s="170">
        <f t="shared" si="4"/>
        <v>0</v>
      </c>
      <c r="AV51" s="233">
        <f t="shared" si="5"/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>
        <v>2016</v>
      </c>
      <c r="K52" s="115">
        <v>2</v>
      </c>
      <c r="L52" s="276">
        <v>199.06</v>
      </c>
      <c r="M52" s="277">
        <f t="shared" si="0"/>
        <v>4032</v>
      </c>
      <c r="N52" s="276">
        <f t="shared" si="1"/>
        <v>802609.92</v>
      </c>
      <c r="O52" s="115">
        <v>4130</v>
      </c>
      <c r="P52" s="276">
        <v>1054554.2</v>
      </c>
      <c r="Q52" s="115"/>
      <c r="R52" s="276"/>
      <c r="S52" s="115"/>
      <c r="T52" s="276"/>
      <c r="U52" s="278" t="s">
        <v>112</v>
      </c>
      <c r="V52" s="115">
        <v>1583</v>
      </c>
      <c r="W52" s="114">
        <v>43082</v>
      </c>
      <c r="X52" s="115" t="s">
        <v>113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490</v>
      </c>
      <c r="AE52" s="170">
        <v>99068.2</v>
      </c>
      <c r="AF52" s="208"/>
      <c r="AG52" s="170"/>
      <c r="AH52" s="208"/>
      <c r="AI52" s="170"/>
      <c r="AJ52" s="232"/>
      <c r="AK52" s="170">
        <f t="shared" si="6"/>
        <v>99068.2</v>
      </c>
      <c r="AL52" s="270">
        <f>135+130+130</f>
        <v>395</v>
      </c>
      <c r="AM52" s="170">
        <f>AL52*AR52</f>
        <v>79861.100000000006</v>
      </c>
      <c r="AN52" s="270">
        <v>95</v>
      </c>
      <c r="AO52" s="170">
        <f t="shared" si="2"/>
        <v>19207.099999999991</v>
      </c>
      <c r="AP52" s="233"/>
      <c r="AQ52" s="233"/>
      <c r="AR52" s="170">
        <v>202.18</v>
      </c>
      <c r="AS52" s="170">
        <f t="shared" si="3"/>
        <v>0</v>
      </c>
      <c r="AT52" s="233">
        <v>0</v>
      </c>
      <c r="AU52" s="386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112</v>
      </c>
      <c r="V53" s="115">
        <v>1745</v>
      </c>
      <c r="W53" s="114">
        <v>43096</v>
      </c>
      <c r="X53" s="115" t="s">
        <v>117</v>
      </c>
      <c r="Y53" s="221">
        <v>43109</v>
      </c>
      <c r="Z53" s="115" t="s">
        <v>118</v>
      </c>
      <c r="AA53" s="221">
        <v>43133</v>
      </c>
      <c r="AB53" s="22">
        <v>0</v>
      </c>
      <c r="AC53" s="170">
        <v>0</v>
      </c>
      <c r="AD53" s="208">
        <v>195</v>
      </c>
      <c r="AE53" s="170">
        <v>39425.1</v>
      </c>
      <c r="AF53" s="208"/>
      <c r="AG53" s="170"/>
      <c r="AH53" s="208"/>
      <c r="AI53" s="170"/>
      <c r="AJ53" s="232"/>
      <c r="AK53" s="170">
        <f t="shared" si="6"/>
        <v>39425.1</v>
      </c>
      <c r="AL53" s="270">
        <v>0</v>
      </c>
      <c r="AM53" s="170">
        <v>0</v>
      </c>
      <c r="AN53" s="270">
        <v>195</v>
      </c>
      <c r="AO53" s="170">
        <f t="shared" si="2"/>
        <v>39425.1</v>
      </c>
      <c r="AP53" s="233"/>
      <c r="AQ53" s="233"/>
      <c r="AR53" s="170">
        <v>202.18</v>
      </c>
      <c r="AS53" s="170">
        <f t="shared" si="3"/>
        <v>0</v>
      </c>
      <c r="AT53" s="233">
        <f>160-140-20</f>
        <v>0</v>
      </c>
      <c r="AU53" s="386">
        <f t="shared" si="4"/>
        <v>0</v>
      </c>
      <c r="AV53" s="233">
        <f t="shared" si="5"/>
        <v>0</v>
      </c>
    </row>
    <row r="54" spans="1:49" s="62" customFormat="1" ht="26.25" customHeight="1">
      <c r="A54" s="59"/>
      <c r="B54" s="60"/>
      <c r="C54" s="137"/>
      <c r="D54" s="192"/>
      <c r="E54" s="79" t="s">
        <v>24</v>
      </c>
      <c r="F54" s="525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527" t="s">
        <v>133</v>
      </c>
      <c r="V54" s="193">
        <v>234</v>
      </c>
      <c r="W54" s="532">
        <v>43143</v>
      </c>
      <c r="X54" s="193" t="s">
        <v>143</v>
      </c>
      <c r="Y54" s="200">
        <v>43164</v>
      </c>
      <c r="Z54" s="193"/>
      <c r="AA54" s="193"/>
      <c r="AB54" s="192">
        <v>0</v>
      </c>
      <c r="AC54" s="530">
        <v>0</v>
      </c>
      <c r="AD54" s="531">
        <v>320</v>
      </c>
      <c r="AE54" s="530">
        <v>64697.599999999999</v>
      </c>
      <c r="AF54" s="531"/>
      <c r="AG54" s="530"/>
      <c r="AH54" s="531"/>
      <c r="AI54" s="530"/>
      <c r="AJ54" s="247"/>
      <c r="AK54" s="170">
        <f t="shared" si="6"/>
        <v>64697.599999999999</v>
      </c>
      <c r="AL54" s="272">
        <v>0</v>
      </c>
      <c r="AM54" s="212">
        <v>0</v>
      </c>
      <c r="AN54" s="269">
        <v>320</v>
      </c>
      <c r="AO54" s="217">
        <f t="shared" si="2"/>
        <v>64697.599999999999</v>
      </c>
      <c r="AP54" s="232"/>
      <c r="AQ54" s="229"/>
      <c r="AR54" s="212">
        <v>202.18</v>
      </c>
      <c r="AS54" s="212">
        <f t="shared" si="3"/>
        <v>0</v>
      </c>
      <c r="AT54" s="247">
        <v>255</v>
      </c>
      <c r="AU54" s="249">
        <f t="shared" si="4"/>
        <v>51555.9</v>
      </c>
      <c r="AV54" s="247">
        <f t="shared" si="5"/>
        <v>255</v>
      </c>
    </row>
    <row r="55" spans="1:49" s="62" customFormat="1" ht="26.25" hidden="1" customHeight="1">
      <c r="A55" s="59"/>
      <c r="B55" s="60"/>
      <c r="C55" s="60"/>
      <c r="D55" s="22"/>
      <c r="E55" s="79" t="s">
        <v>24</v>
      </c>
      <c r="F55" s="51" t="s">
        <v>65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132</v>
      </c>
      <c r="V55" s="115">
        <v>234</v>
      </c>
      <c r="W55" s="114">
        <v>43143</v>
      </c>
      <c r="X55" s="115" t="s">
        <v>143</v>
      </c>
      <c r="Y55" s="221">
        <v>43164</v>
      </c>
      <c r="Z55" s="115"/>
      <c r="AA55" s="115"/>
      <c r="AB55" s="22">
        <v>0</v>
      </c>
      <c r="AC55" s="170">
        <v>0</v>
      </c>
      <c r="AD55" s="208">
        <v>15</v>
      </c>
      <c r="AE55" s="170">
        <v>3032.7</v>
      </c>
      <c r="AF55" s="208"/>
      <c r="AG55" s="170"/>
      <c r="AH55" s="208"/>
      <c r="AI55" s="170"/>
      <c r="AJ55" s="233"/>
      <c r="AK55" s="170">
        <f t="shared" si="6"/>
        <v>3032.7</v>
      </c>
      <c r="AL55" s="270">
        <v>0</v>
      </c>
      <c r="AM55" s="170">
        <v>0</v>
      </c>
      <c r="AN55" s="270">
        <v>15</v>
      </c>
      <c r="AO55" s="170">
        <f t="shared" si="2"/>
        <v>3032.7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v>0</v>
      </c>
      <c r="AW55" s="517" t="s">
        <v>287</v>
      </c>
    </row>
    <row r="56" spans="1:49" s="62" customFormat="1" ht="27" customHeight="1">
      <c r="A56" s="59"/>
      <c r="B56" s="60"/>
      <c r="C56" s="137"/>
      <c r="D56" s="192"/>
      <c r="E56" s="79" t="s">
        <v>24</v>
      </c>
      <c r="F56" s="525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527" t="s">
        <v>133</v>
      </c>
      <c r="V56" s="193">
        <v>356</v>
      </c>
      <c r="W56" s="532">
        <v>43159</v>
      </c>
      <c r="X56" s="193" t="s">
        <v>136</v>
      </c>
      <c r="Y56" s="200">
        <v>43164</v>
      </c>
      <c r="Z56" s="193"/>
      <c r="AA56" s="193"/>
      <c r="AB56" s="192">
        <v>0</v>
      </c>
      <c r="AC56" s="530">
        <v>0</v>
      </c>
      <c r="AD56" s="531">
        <v>170</v>
      </c>
      <c r="AE56" s="530">
        <v>34370.6</v>
      </c>
      <c r="AF56" s="531"/>
      <c r="AG56" s="530"/>
      <c r="AH56" s="531"/>
      <c r="AI56" s="530"/>
      <c r="AJ56" s="247"/>
      <c r="AK56" s="170">
        <f t="shared" si="6"/>
        <v>34370.6</v>
      </c>
      <c r="AL56" s="272">
        <v>0</v>
      </c>
      <c r="AM56" s="212">
        <v>0</v>
      </c>
      <c r="AN56" s="269">
        <v>170</v>
      </c>
      <c r="AO56" s="217">
        <f t="shared" si="2"/>
        <v>34370.6</v>
      </c>
      <c r="AP56" s="232"/>
      <c r="AQ56" s="229"/>
      <c r="AR56" s="212">
        <v>202.18</v>
      </c>
      <c r="AS56" s="212">
        <f t="shared" si="3"/>
        <v>0</v>
      </c>
      <c r="AT56" s="247">
        <v>170</v>
      </c>
      <c r="AU56" s="228">
        <f t="shared" si="4"/>
        <v>34370.6</v>
      </c>
      <c r="AV56" s="247">
        <f t="shared" si="5"/>
        <v>170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260</v>
      </c>
      <c r="W57" s="532">
        <v>43145</v>
      </c>
      <c r="X57" s="193" t="s">
        <v>94</v>
      </c>
      <c r="Y57" s="200">
        <v>43164</v>
      </c>
      <c r="Z57" s="193"/>
      <c r="AA57" s="193"/>
      <c r="AB57" s="192">
        <v>0</v>
      </c>
      <c r="AC57" s="530">
        <v>0</v>
      </c>
      <c r="AD57" s="531">
        <v>665</v>
      </c>
      <c r="AE57" s="530">
        <v>134449.70000000001</v>
      </c>
      <c r="AF57" s="531"/>
      <c r="AG57" s="530"/>
      <c r="AH57" s="531"/>
      <c r="AI57" s="530"/>
      <c r="AJ57" s="247"/>
      <c r="AK57" s="170">
        <f t="shared" si="6"/>
        <v>134449.70000000001</v>
      </c>
      <c r="AL57" s="272">
        <v>0</v>
      </c>
      <c r="AM57" s="212">
        <v>0</v>
      </c>
      <c r="AN57" s="269">
        <v>665</v>
      </c>
      <c r="AO57" s="217">
        <f t="shared" si="2"/>
        <v>134449.70000000001</v>
      </c>
      <c r="AP57" s="232"/>
      <c r="AQ57" s="229"/>
      <c r="AR57" s="212">
        <v>202.18</v>
      </c>
      <c r="AS57" s="212">
        <f t="shared" si="3"/>
        <v>0</v>
      </c>
      <c r="AT57" s="247">
        <v>665</v>
      </c>
      <c r="AU57" s="249">
        <f t="shared" si="4"/>
        <v>134449.70000000001</v>
      </c>
      <c r="AV57" s="247">
        <f t="shared" si="5"/>
        <v>665</v>
      </c>
    </row>
    <row r="58" spans="1:49" s="62" customFormat="1" ht="26.25" hidden="1" customHeight="1">
      <c r="A58" s="59"/>
      <c r="B58" s="60"/>
      <c r="C58" s="60"/>
      <c r="D58" s="22"/>
      <c r="E58" s="79" t="s">
        <v>24</v>
      </c>
      <c r="F58" s="51" t="s">
        <v>65</v>
      </c>
      <c r="G58" s="275" t="s">
        <v>111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124</v>
      </c>
      <c r="V58" s="115">
        <v>68</v>
      </c>
      <c r="W58" s="114">
        <v>43116</v>
      </c>
      <c r="X58" s="115" t="s">
        <v>125</v>
      </c>
      <c r="Y58" s="221">
        <v>43130</v>
      </c>
      <c r="Z58" s="115"/>
      <c r="AA58" s="115"/>
      <c r="AB58" s="22">
        <v>0</v>
      </c>
      <c r="AC58" s="170">
        <v>0</v>
      </c>
      <c r="AD58" s="208">
        <v>335</v>
      </c>
      <c r="AE58" s="170">
        <v>67730.3</v>
      </c>
      <c r="AF58" s="208"/>
      <c r="AG58" s="170"/>
      <c r="AH58" s="208"/>
      <c r="AI58" s="170"/>
      <c r="AJ58" s="233"/>
      <c r="AK58" s="170">
        <f t="shared" si="6"/>
        <v>67730.3</v>
      </c>
      <c r="AL58" s="270">
        <v>0</v>
      </c>
      <c r="AM58" s="170">
        <v>0</v>
      </c>
      <c r="AN58" s="270">
        <v>335</v>
      </c>
      <c r="AO58" s="170">
        <f t="shared" si="2"/>
        <v>67730.3</v>
      </c>
      <c r="AP58" s="233"/>
      <c r="AQ58" s="233"/>
      <c r="AR58" s="170">
        <v>202.18</v>
      </c>
      <c r="AS58" s="170">
        <f t="shared" si="3"/>
        <v>0</v>
      </c>
      <c r="AT58" s="233">
        <f>155-155</f>
        <v>0</v>
      </c>
      <c r="AU58" s="386">
        <f t="shared" si="4"/>
        <v>0</v>
      </c>
      <c r="AV58" s="233">
        <f t="shared" si="5"/>
        <v>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135</v>
      </c>
      <c r="W59" s="114">
        <v>42761</v>
      </c>
      <c r="X59" s="115" t="s">
        <v>126</v>
      </c>
      <c r="Y59" s="221">
        <v>43130</v>
      </c>
      <c r="Z59" s="115"/>
      <c r="AA59" s="115"/>
      <c r="AB59" s="22">
        <v>0</v>
      </c>
      <c r="AC59" s="170">
        <v>0</v>
      </c>
      <c r="AD59" s="208">
        <v>155</v>
      </c>
      <c r="AE59" s="170">
        <v>31337.9</v>
      </c>
      <c r="AF59" s="208"/>
      <c r="AG59" s="170"/>
      <c r="AH59" s="208"/>
      <c r="AI59" s="170"/>
      <c r="AJ59" s="233"/>
      <c r="AK59" s="170">
        <f t="shared" si="6"/>
        <v>31337.9</v>
      </c>
      <c r="AL59" s="270">
        <v>0</v>
      </c>
      <c r="AM59" s="170">
        <v>0</v>
      </c>
      <c r="AN59" s="270">
        <v>155</v>
      </c>
      <c r="AO59" s="170">
        <f t="shared" si="2"/>
        <v>31337.9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customHeight="1">
      <c r="A60" s="59"/>
      <c r="B60" s="60"/>
      <c r="C60" s="137"/>
      <c r="D60" s="192"/>
      <c r="E60" s="79" t="s">
        <v>24</v>
      </c>
      <c r="F60" s="525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527" t="s">
        <v>132</v>
      </c>
      <c r="V60" s="193">
        <v>108</v>
      </c>
      <c r="W60" s="532">
        <v>43119</v>
      </c>
      <c r="X60" s="193" t="s">
        <v>131</v>
      </c>
      <c r="Y60" s="200">
        <v>43130</v>
      </c>
      <c r="Z60" s="193"/>
      <c r="AA60" s="193"/>
      <c r="AB60" s="192">
        <v>0</v>
      </c>
      <c r="AC60" s="530">
        <v>0</v>
      </c>
      <c r="AD60" s="531">
        <v>340</v>
      </c>
      <c r="AE60" s="530">
        <v>68741.2</v>
      </c>
      <c r="AF60" s="531"/>
      <c r="AG60" s="530"/>
      <c r="AH60" s="531"/>
      <c r="AI60" s="530"/>
      <c r="AJ60" s="247"/>
      <c r="AK60" s="170">
        <f t="shared" si="6"/>
        <v>68741.2</v>
      </c>
      <c r="AL60" s="272">
        <v>0</v>
      </c>
      <c r="AM60" s="212">
        <v>0</v>
      </c>
      <c r="AN60" s="269">
        <v>340</v>
      </c>
      <c r="AO60" s="217">
        <f t="shared" si="2"/>
        <v>68741.2</v>
      </c>
      <c r="AP60" s="232"/>
      <c r="AQ60" s="229"/>
      <c r="AR60" s="212">
        <v>202.18</v>
      </c>
      <c r="AS60" s="212">
        <f t="shared" si="3"/>
        <v>0</v>
      </c>
      <c r="AT60" s="247">
        <v>205</v>
      </c>
      <c r="AU60" s="249">
        <f t="shared" si="4"/>
        <v>41446.9</v>
      </c>
      <c r="AV60" s="247">
        <f t="shared" si="5"/>
        <v>205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161</v>
      </c>
      <c r="V61" s="193">
        <v>659</v>
      </c>
      <c r="W61" s="532">
        <v>43201</v>
      </c>
      <c r="X61" s="193" t="s">
        <v>159</v>
      </c>
      <c r="Y61" s="200">
        <v>43213</v>
      </c>
      <c r="Z61" s="193" t="s">
        <v>160</v>
      </c>
      <c r="AA61" s="200">
        <v>43255</v>
      </c>
      <c r="AB61" s="192">
        <v>0</v>
      </c>
      <c r="AC61" s="530">
        <v>0</v>
      </c>
      <c r="AD61" s="531">
        <v>245</v>
      </c>
      <c r="AE61" s="530">
        <v>49534.1</v>
      </c>
      <c r="AF61" s="531"/>
      <c r="AG61" s="530"/>
      <c r="AH61" s="531"/>
      <c r="AI61" s="530"/>
      <c r="AJ61" s="247"/>
      <c r="AK61" s="170">
        <f t="shared" si="6"/>
        <v>49534.1</v>
      </c>
      <c r="AL61" s="272">
        <v>0</v>
      </c>
      <c r="AM61" s="212">
        <v>0</v>
      </c>
      <c r="AN61" s="269">
        <v>245</v>
      </c>
      <c r="AO61" s="217">
        <f t="shared" si="2"/>
        <v>49534.1</v>
      </c>
      <c r="AP61" s="232"/>
      <c r="AQ61" s="229"/>
      <c r="AR61" s="212">
        <v>202.18</v>
      </c>
      <c r="AS61" s="212">
        <f t="shared" si="3"/>
        <v>0</v>
      </c>
      <c r="AT61" s="247">
        <v>245</v>
      </c>
      <c r="AU61" s="228">
        <f t="shared" si="4"/>
        <v>49534.1</v>
      </c>
      <c r="AV61" s="247">
        <f t="shared" si="5"/>
        <v>245</v>
      </c>
    </row>
    <row r="62" spans="1:49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161</v>
      </c>
      <c r="V62" s="115">
        <v>834</v>
      </c>
      <c r="W62" s="114">
        <v>43222</v>
      </c>
      <c r="X62" s="193" t="s">
        <v>162</v>
      </c>
      <c r="Y62" s="200">
        <v>43242</v>
      </c>
      <c r="Z62" s="193"/>
      <c r="AA62" s="193"/>
      <c r="AB62" s="22">
        <v>0</v>
      </c>
      <c r="AC62" s="170">
        <v>0</v>
      </c>
      <c r="AD62" s="209">
        <v>555</v>
      </c>
      <c r="AE62" s="194">
        <v>112209.9</v>
      </c>
      <c r="AF62" s="209"/>
      <c r="AG62" s="194"/>
      <c r="AH62" s="209"/>
      <c r="AI62" s="194"/>
      <c r="AJ62" s="232"/>
      <c r="AK62" s="170">
        <f t="shared" si="6"/>
        <v>112209.9</v>
      </c>
      <c r="AL62" s="272">
        <v>0</v>
      </c>
      <c r="AM62" s="212">
        <v>0</v>
      </c>
      <c r="AN62" s="269">
        <v>555</v>
      </c>
      <c r="AO62" s="217">
        <f t="shared" si="2"/>
        <v>112209.9</v>
      </c>
      <c r="AP62" s="232"/>
      <c r="AQ62" s="229"/>
      <c r="AR62" s="212">
        <v>202.18</v>
      </c>
      <c r="AS62" s="212">
        <f t="shared" si="3"/>
        <v>0</v>
      </c>
      <c r="AT62" s="227">
        <f>555-60</f>
        <v>495</v>
      </c>
      <c r="AU62" s="228">
        <f t="shared" si="4"/>
        <v>100079.1</v>
      </c>
      <c r="AV62" s="279">
        <f t="shared" si="5"/>
        <v>495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175</v>
      </c>
      <c r="V63" s="115">
        <v>1006</v>
      </c>
      <c r="W63" s="114">
        <v>43244</v>
      </c>
      <c r="X63" s="115" t="s">
        <v>179</v>
      </c>
      <c r="Y63" s="221">
        <v>43285</v>
      </c>
      <c r="Z63" s="115"/>
      <c r="AA63" s="115"/>
      <c r="AB63" s="22">
        <v>0</v>
      </c>
      <c r="AC63" s="170">
        <v>0</v>
      </c>
      <c r="AD63" s="208">
        <v>45</v>
      </c>
      <c r="AE63" s="170">
        <v>8820</v>
      </c>
      <c r="AF63" s="208"/>
      <c r="AG63" s="170"/>
      <c r="AH63" s="208"/>
      <c r="AI63" s="170"/>
      <c r="AJ63" s="233"/>
      <c r="AK63" s="170">
        <f t="shared" si="6"/>
        <v>8820</v>
      </c>
      <c r="AL63" s="270">
        <v>0</v>
      </c>
      <c r="AM63" s="170">
        <v>0</v>
      </c>
      <c r="AN63" s="270">
        <v>45</v>
      </c>
      <c r="AO63" s="170">
        <f t="shared" si="2"/>
        <v>8820</v>
      </c>
      <c r="AP63" s="233"/>
      <c r="AQ63" s="233"/>
      <c r="AR63" s="170">
        <v>196</v>
      </c>
      <c r="AS63" s="170">
        <f t="shared" si="3"/>
        <v>0</v>
      </c>
      <c r="AT63" s="233">
        <f>45-45</f>
        <v>0</v>
      </c>
      <c r="AU63" s="386">
        <f t="shared" si="4"/>
        <v>0</v>
      </c>
      <c r="AV63" s="233">
        <f t="shared" si="5"/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55</v>
      </c>
      <c r="AE64" s="170">
        <v>11119.9</v>
      </c>
      <c r="AF64" s="208"/>
      <c r="AG64" s="170"/>
      <c r="AH64" s="208"/>
      <c r="AI64" s="170"/>
      <c r="AJ64" s="233"/>
      <c r="AK64" s="170">
        <f t="shared" si="6"/>
        <v>11119.9</v>
      </c>
      <c r="AL64" s="270">
        <v>0</v>
      </c>
      <c r="AM64" s="170">
        <v>0</v>
      </c>
      <c r="AN64" s="270">
        <v>55</v>
      </c>
      <c r="AO64" s="170">
        <f t="shared" si="2"/>
        <v>11119.9</v>
      </c>
      <c r="AP64" s="233"/>
      <c r="AQ64" s="233"/>
      <c r="AR64" s="170">
        <v>202.18</v>
      </c>
      <c r="AS64" s="170">
        <f t="shared" si="3"/>
        <v>0</v>
      </c>
      <c r="AT64" s="233">
        <f>55-55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877</v>
      </c>
      <c r="W65" s="114">
        <v>43230</v>
      </c>
      <c r="X65" s="193" t="s">
        <v>174</v>
      </c>
      <c r="Y65" s="200">
        <v>43285</v>
      </c>
      <c r="Z65" s="193"/>
      <c r="AA65" s="193"/>
      <c r="AB65" s="22">
        <v>0</v>
      </c>
      <c r="AC65" s="170">
        <v>0</v>
      </c>
      <c r="AD65" s="209">
        <v>210</v>
      </c>
      <c r="AE65" s="194">
        <v>42457.8</v>
      </c>
      <c r="AF65" s="209"/>
      <c r="AG65" s="194"/>
      <c r="AH65" s="209"/>
      <c r="AI65" s="194"/>
      <c r="AJ65" s="232"/>
      <c r="AK65" s="170">
        <f t="shared" si="6"/>
        <v>42457.8</v>
      </c>
      <c r="AL65" s="272">
        <v>0</v>
      </c>
      <c r="AM65" s="212">
        <v>0</v>
      </c>
      <c r="AN65" s="269">
        <v>210</v>
      </c>
      <c r="AO65" s="217">
        <f t="shared" si="2"/>
        <v>42457.8</v>
      </c>
      <c r="AP65" s="232"/>
      <c r="AQ65" s="229"/>
      <c r="AR65" s="212">
        <v>202.18</v>
      </c>
      <c r="AS65" s="212">
        <f t="shared" si="3"/>
        <v>0</v>
      </c>
      <c r="AT65" s="227">
        <v>210</v>
      </c>
      <c r="AU65" s="228">
        <f t="shared" si="4"/>
        <v>42457.8</v>
      </c>
      <c r="AV65" s="279">
        <f t="shared" si="5"/>
        <v>210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1053</v>
      </c>
      <c r="W66" s="114">
        <v>43255</v>
      </c>
      <c r="X66" s="193" t="s">
        <v>177</v>
      </c>
      <c r="Y66" s="200">
        <v>43285</v>
      </c>
      <c r="Z66" s="193" t="s">
        <v>178</v>
      </c>
      <c r="AA66" s="200">
        <v>43269</v>
      </c>
      <c r="AB66" s="22">
        <v>0</v>
      </c>
      <c r="AC66" s="170">
        <v>0</v>
      </c>
      <c r="AD66" s="209">
        <v>105</v>
      </c>
      <c r="AE66" s="194">
        <v>21228.9</v>
      </c>
      <c r="AF66" s="209"/>
      <c r="AG66" s="194"/>
      <c r="AH66" s="209"/>
      <c r="AI66" s="194"/>
      <c r="AJ66" s="232"/>
      <c r="AK66" s="170">
        <f t="shared" si="6"/>
        <v>21228.9</v>
      </c>
      <c r="AL66" s="272">
        <v>0</v>
      </c>
      <c r="AM66" s="212">
        <v>0</v>
      </c>
      <c r="AN66" s="269">
        <v>105</v>
      </c>
      <c r="AO66" s="217">
        <f t="shared" si="2"/>
        <v>21228.9</v>
      </c>
      <c r="AP66" s="232"/>
      <c r="AQ66" s="229"/>
      <c r="AR66" s="212">
        <v>202.18</v>
      </c>
      <c r="AS66" s="212">
        <f t="shared" si="3"/>
        <v>0</v>
      </c>
      <c r="AT66" s="227">
        <v>105</v>
      </c>
      <c r="AU66" s="228">
        <f t="shared" si="4"/>
        <v>21228.9</v>
      </c>
      <c r="AV66" s="279">
        <f t="shared" si="5"/>
        <v>105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187</v>
      </c>
      <c r="V67" s="115">
        <v>1418</v>
      </c>
      <c r="W67" s="114">
        <v>43312</v>
      </c>
      <c r="X67" s="193" t="s">
        <v>184</v>
      </c>
      <c r="Y67" s="200">
        <v>43332</v>
      </c>
      <c r="Z67" s="193" t="s">
        <v>185</v>
      </c>
      <c r="AA67" s="200">
        <v>43320</v>
      </c>
      <c r="AB67" s="22">
        <v>0</v>
      </c>
      <c r="AC67" s="170">
        <v>0</v>
      </c>
      <c r="AD67" s="209">
        <v>30</v>
      </c>
      <c r="AE67" s="194">
        <v>5880</v>
      </c>
      <c r="AF67" s="209"/>
      <c r="AG67" s="194"/>
      <c r="AH67" s="209"/>
      <c r="AI67" s="194"/>
      <c r="AJ67" s="232"/>
      <c r="AK67" s="170">
        <f t="shared" si="6"/>
        <v>5880</v>
      </c>
      <c r="AL67" s="272">
        <v>0</v>
      </c>
      <c r="AM67" s="212">
        <v>0</v>
      </c>
      <c r="AN67" s="269">
        <v>30</v>
      </c>
      <c r="AO67" s="217">
        <v>0</v>
      </c>
      <c r="AP67" s="232"/>
      <c r="AQ67" s="229"/>
      <c r="AR67" s="212">
        <v>196</v>
      </c>
      <c r="AS67" s="212">
        <f t="shared" si="3"/>
        <v>0</v>
      </c>
      <c r="AT67" s="227">
        <v>30</v>
      </c>
      <c r="AU67" s="228">
        <f t="shared" si="4"/>
        <v>5880</v>
      </c>
      <c r="AV67" s="279">
        <f t="shared" si="5"/>
        <v>30</v>
      </c>
    </row>
    <row r="68" spans="1:48" s="62" customFormat="1" ht="26.25" customHeight="1">
      <c r="A68" s="59"/>
      <c r="B68" s="60"/>
      <c r="C68" s="60"/>
      <c r="D68" s="22"/>
      <c r="E68" s="79"/>
      <c r="F68" s="53" t="s">
        <v>65</v>
      </c>
      <c r="G68" s="222" t="s">
        <v>111</v>
      </c>
      <c r="H68" s="193"/>
      <c r="I68" s="193"/>
      <c r="J68" s="193"/>
      <c r="K68" s="193"/>
      <c r="L68" s="243"/>
      <c r="M68" s="242"/>
      <c r="N68" s="243"/>
      <c r="O68" s="193"/>
      <c r="P68" s="243"/>
      <c r="Q68" s="193"/>
      <c r="R68" s="243"/>
      <c r="S68" s="193"/>
      <c r="T68" s="243"/>
      <c r="U68" s="203"/>
      <c r="V68" s="115"/>
      <c r="W68" s="114"/>
      <c r="X68" s="193"/>
      <c r="Y68" s="200"/>
      <c r="Z68" s="193"/>
      <c r="AA68" s="200"/>
      <c r="AB68" s="22"/>
      <c r="AC68" s="170"/>
      <c r="AD68" s="209"/>
      <c r="AE68" s="194"/>
      <c r="AF68" s="209"/>
      <c r="AG68" s="194"/>
      <c r="AH68" s="209"/>
      <c r="AI68" s="194"/>
      <c r="AJ68" s="232"/>
      <c r="AK68" s="170"/>
      <c r="AL68" s="272"/>
      <c r="AM68" s="212"/>
      <c r="AN68" s="269"/>
      <c r="AO68" s="217"/>
      <c r="AP68" s="232"/>
      <c r="AQ68" s="229"/>
      <c r="AR68" s="212"/>
      <c r="AS68" s="212"/>
      <c r="AT68" s="227">
        <v>30</v>
      </c>
      <c r="AU68" s="228"/>
      <c r="AV68" s="279">
        <f t="shared" si="5"/>
        <v>30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249</v>
      </c>
      <c r="G69" s="275" t="s">
        <v>146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>
        <v>250</v>
      </c>
      <c r="P69" s="276">
        <v>66042.58</v>
      </c>
      <c r="Q69" s="115"/>
      <c r="R69" s="276"/>
      <c r="S69" s="115"/>
      <c r="T69" s="276"/>
      <c r="U69" s="278" t="s">
        <v>181</v>
      </c>
      <c r="V69" s="115">
        <v>1405</v>
      </c>
      <c r="W69" s="114">
        <v>43052</v>
      </c>
      <c r="X69" s="115" t="s">
        <v>182</v>
      </c>
      <c r="Y69" s="221">
        <v>43201</v>
      </c>
      <c r="Z69" s="115"/>
      <c r="AA69" s="115"/>
      <c r="AB69" s="22">
        <v>0</v>
      </c>
      <c r="AC69" s="170">
        <v>0</v>
      </c>
      <c r="AD69" s="208">
        <v>125</v>
      </c>
      <c r="AE69" s="170">
        <v>26255</v>
      </c>
      <c r="AF69" s="208"/>
      <c r="AG69" s="170"/>
      <c r="AH69" s="208"/>
      <c r="AI69" s="170"/>
      <c r="AJ69" s="232"/>
      <c r="AK69" s="170">
        <f t="shared" si="6"/>
        <v>26255</v>
      </c>
      <c r="AL69" s="270">
        <f>63+62</f>
        <v>125</v>
      </c>
      <c r="AM69" s="170">
        <v>26255</v>
      </c>
      <c r="AN69" s="270">
        <v>0</v>
      </c>
      <c r="AO69" s="170">
        <f t="shared" si="2"/>
        <v>0</v>
      </c>
      <c r="AP69" s="233"/>
      <c r="AQ69" s="233"/>
      <c r="AR69" s="170">
        <v>210.04</v>
      </c>
      <c r="AS69" s="170">
        <f t="shared" si="3"/>
        <v>0</v>
      </c>
      <c r="AT69" s="208">
        <v>0</v>
      </c>
      <c r="AU69" s="170">
        <f t="shared" si="4"/>
        <v>0</v>
      </c>
      <c r="AV69" s="233">
        <f t="shared" si="5"/>
        <v>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/>
      <c r="P70" s="276"/>
      <c r="Q70" s="115"/>
      <c r="R70" s="276"/>
      <c r="S70" s="115"/>
      <c r="T70" s="276"/>
      <c r="U70" s="278" t="s">
        <v>145</v>
      </c>
      <c r="V70" s="115">
        <v>1381</v>
      </c>
      <c r="W70" s="114">
        <v>43047</v>
      </c>
      <c r="X70" s="115" t="s">
        <v>144</v>
      </c>
      <c r="Y70" s="221">
        <v>43201</v>
      </c>
      <c r="Z70" s="115"/>
      <c r="AA70" s="115"/>
      <c r="AB70" s="22">
        <v>0</v>
      </c>
      <c r="AC70" s="170">
        <v>0</v>
      </c>
      <c r="AD70" s="208">
        <v>80</v>
      </c>
      <c r="AE70" s="170">
        <v>16803.2</v>
      </c>
      <c r="AF70" s="208"/>
      <c r="AG70" s="170"/>
      <c r="AH70" s="208"/>
      <c r="AI70" s="170"/>
      <c r="AJ70" s="232"/>
      <c r="AK70" s="170">
        <f t="shared" si="6"/>
        <v>16803.2</v>
      </c>
      <c r="AL70" s="270">
        <v>80</v>
      </c>
      <c r="AM70" s="170">
        <v>16803.2</v>
      </c>
      <c r="AN70" s="270">
        <v>0</v>
      </c>
      <c r="AO70" s="170">
        <f t="shared" si="2"/>
        <v>0</v>
      </c>
      <c r="AP70" s="233"/>
      <c r="AQ70" s="233"/>
      <c r="AR70" s="170">
        <f>AM70/AL70</f>
        <v>210.04000000000002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148</v>
      </c>
      <c r="V71" s="115">
        <v>546</v>
      </c>
      <c r="W71" s="114">
        <v>43182</v>
      </c>
      <c r="X71" s="115" t="s">
        <v>149</v>
      </c>
      <c r="Y71" s="221">
        <v>43201</v>
      </c>
      <c r="Z71" s="115" t="s">
        <v>147</v>
      </c>
      <c r="AA71" s="221">
        <v>43252</v>
      </c>
      <c r="AB71" s="22">
        <v>0</v>
      </c>
      <c r="AC71" s="170">
        <v>0</v>
      </c>
      <c r="AD71" s="208">
        <v>10</v>
      </c>
      <c r="AE71" s="170">
        <v>2038.7</v>
      </c>
      <c r="AF71" s="208"/>
      <c r="AG71" s="170"/>
      <c r="AH71" s="208"/>
      <c r="AI71" s="170"/>
      <c r="AJ71" s="232"/>
      <c r="AK71" s="170">
        <f t="shared" si="6"/>
        <v>2038.7</v>
      </c>
      <c r="AL71" s="270">
        <v>10</v>
      </c>
      <c r="AM71" s="170">
        <v>2038.7</v>
      </c>
      <c r="AN71" s="270">
        <v>0</v>
      </c>
      <c r="AO71" s="170">
        <f t="shared" si="2"/>
        <v>0</v>
      </c>
      <c r="AP71" s="233"/>
      <c r="AQ71" s="233"/>
      <c r="AR71" s="170">
        <f>AM71/AL71</f>
        <v>203.87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5.5" hidden="1" customHeight="1">
      <c r="A72" s="59"/>
      <c r="B72" s="60"/>
      <c r="C72" s="60"/>
      <c r="D72" s="22"/>
      <c r="E72" s="79" t="s">
        <v>24</v>
      </c>
      <c r="F72" s="51" t="s">
        <v>250</v>
      </c>
      <c r="G72" s="275" t="s">
        <v>140</v>
      </c>
      <c r="H72" s="115" t="s">
        <v>91</v>
      </c>
      <c r="I72" s="115" t="s">
        <v>91</v>
      </c>
      <c r="J72" s="115">
        <v>1080</v>
      </c>
      <c r="K72" s="115">
        <v>2</v>
      </c>
      <c r="L72" s="276">
        <v>304.58999999999997</v>
      </c>
      <c r="M72" s="277">
        <f t="shared" si="0"/>
        <v>2160</v>
      </c>
      <c r="N72" s="276">
        <f t="shared" si="1"/>
        <v>657914.39999999991</v>
      </c>
      <c r="O72" s="115">
        <v>180</v>
      </c>
      <c r="P72" s="276">
        <v>49908.6</v>
      </c>
      <c r="Q72" s="115">
        <v>1080</v>
      </c>
      <c r="R72" s="276">
        <v>323838</v>
      </c>
      <c r="S72" s="115">
        <v>602</v>
      </c>
      <c r="T72" s="276">
        <v>183363.18</v>
      </c>
      <c r="U72" s="278" t="s">
        <v>139</v>
      </c>
      <c r="V72" s="115">
        <v>427</v>
      </c>
      <c r="W72" s="114">
        <v>43164</v>
      </c>
      <c r="X72" s="115" t="s">
        <v>138</v>
      </c>
      <c r="Y72" s="221">
        <v>43164</v>
      </c>
      <c r="Z72" s="115"/>
      <c r="AA72" s="115"/>
      <c r="AB72" s="22">
        <v>0</v>
      </c>
      <c r="AC72" s="170">
        <v>0</v>
      </c>
      <c r="AD72" s="208">
        <v>56</v>
      </c>
      <c r="AE72" s="170">
        <v>16794.400000000001</v>
      </c>
      <c r="AF72" s="208"/>
      <c r="AG72" s="170"/>
      <c r="AH72" s="208"/>
      <c r="AI72" s="170"/>
      <c r="AJ72" s="232"/>
      <c r="AK72" s="170">
        <f t="shared" si="6"/>
        <v>16794.400000000001</v>
      </c>
      <c r="AL72" s="270">
        <v>0</v>
      </c>
      <c r="AM72" s="170">
        <v>0</v>
      </c>
      <c r="AN72" s="270">
        <v>56</v>
      </c>
      <c r="AO72" s="170">
        <f t="shared" si="2"/>
        <v>16794.400000000001</v>
      </c>
      <c r="AP72" s="233"/>
      <c r="AQ72" s="233"/>
      <c r="AR72" s="170">
        <v>299.89999999999998</v>
      </c>
      <c r="AS72" s="170">
        <f t="shared" si="3"/>
        <v>0</v>
      </c>
      <c r="AT72" s="233">
        <f>18-18</f>
        <v>0</v>
      </c>
      <c r="AU72" s="386">
        <f t="shared" si="4"/>
        <v>0</v>
      </c>
      <c r="AV72" s="279">
        <f t="shared" si="5"/>
        <v>0</v>
      </c>
    </row>
    <row r="73" spans="1:48" s="62" customFormat="1" ht="25.5" customHeight="1">
      <c r="A73" s="59"/>
      <c r="B73" s="60"/>
      <c r="C73" s="60"/>
      <c r="D73" s="22"/>
      <c r="E73" s="79"/>
      <c r="F73" s="140" t="s">
        <v>55</v>
      </c>
      <c r="G73" s="222" t="s">
        <v>114</v>
      </c>
      <c r="H73" s="115"/>
      <c r="I73" s="115"/>
      <c r="J73" s="115"/>
      <c r="K73" s="115"/>
      <c r="L73" s="276"/>
      <c r="M73" s="277"/>
      <c r="N73" s="276"/>
      <c r="O73" s="115"/>
      <c r="P73" s="276"/>
      <c r="Q73" s="115"/>
      <c r="R73" s="276"/>
      <c r="S73" s="115"/>
      <c r="T73" s="276"/>
      <c r="U73" s="203" t="s">
        <v>263</v>
      </c>
      <c r="V73" s="115"/>
      <c r="W73" s="114"/>
      <c r="X73" s="115"/>
      <c r="Y73" s="221"/>
      <c r="Z73" s="115"/>
      <c r="AA73" s="115"/>
      <c r="AB73" s="22"/>
      <c r="AC73" s="170"/>
      <c r="AD73" s="208"/>
      <c r="AE73" s="170"/>
      <c r="AF73" s="208"/>
      <c r="AG73" s="170"/>
      <c r="AH73" s="208"/>
      <c r="AI73" s="170"/>
      <c r="AJ73" s="232">
        <v>36</v>
      </c>
      <c r="AK73" s="170"/>
      <c r="AL73" s="270"/>
      <c r="AM73" s="170"/>
      <c r="AN73" s="270"/>
      <c r="AO73" s="170"/>
      <c r="AP73" s="233"/>
      <c r="AQ73" s="233"/>
      <c r="AR73" s="170"/>
      <c r="AS73" s="170"/>
      <c r="AT73" s="227">
        <v>36</v>
      </c>
      <c r="AU73" s="386"/>
      <c r="AV73" s="279">
        <f>AT73</f>
        <v>36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262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234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v>234</v>
      </c>
      <c r="AU74" s="386"/>
      <c r="AV74" s="279">
        <f t="shared" si="5"/>
        <v>234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263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14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v>14</v>
      </c>
      <c r="AU75" s="386"/>
      <c r="AV75" s="279">
        <f t="shared" si="5"/>
        <v>14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283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76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76</v>
      </c>
      <c r="AU76" s="386"/>
      <c r="AV76" s="279">
        <f t="shared" si="5"/>
        <v>76</v>
      </c>
    </row>
    <row r="77" spans="1:48" s="62" customFormat="1" ht="25.5" customHeight="1">
      <c r="A77" s="59"/>
      <c r="B77" s="60"/>
      <c r="C77" s="60"/>
      <c r="D77" s="22"/>
      <c r="E77" s="79" t="s">
        <v>24</v>
      </c>
      <c r="F77" s="173" t="s">
        <v>64</v>
      </c>
      <c r="G77" s="222" t="s">
        <v>140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157</v>
      </c>
      <c r="V77" s="115">
        <v>605</v>
      </c>
      <c r="W77" s="114">
        <v>43193</v>
      </c>
      <c r="X77" s="193">
        <v>97</v>
      </c>
      <c r="Y77" s="200">
        <v>43202</v>
      </c>
      <c r="Z77" s="193" t="s">
        <v>158</v>
      </c>
      <c r="AA77" s="200">
        <v>43216</v>
      </c>
      <c r="AB77" s="22">
        <v>0</v>
      </c>
      <c r="AC77" s="170">
        <v>0</v>
      </c>
      <c r="AD77" s="209">
        <v>510</v>
      </c>
      <c r="AE77" s="194">
        <v>152949</v>
      </c>
      <c r="AF77" s="209"/>
      <c r="AG77" s="194"/>
      <c r="AH77" s="209"/>
      <c r="AI77" s="194"/>
      <c r="AJ77" s="232"/>
      <c r="AK77" s="170">
        <f t="shared" si="6"/>
        <v>152949</v>
      </c>
      <c r="AL77" s="272">
        <v>0</v>
      </c>
      <c r="AM77" s="212">
        <v>0</v>
      </c>
      <c r="AN77" s="269">
        <v>510</v>
      </c>
      <c r="AO77" s="217">
        <f t="shared" si="2"/>
        <v>152949</v>
      </c>
      <c r="AP77" s="232"/>
      <c r="AQ77" s="229"/>
      <c r="AR77" s="212">
        <v>299.89999999999998</v>
      </c>
      <c r="AS77" s="212">
        <f t="shared" si="3"/>
        <v>0</v>
      </c>
      <c r="AT77" s="227">
        <v>108</v>
      </c>
      <c r="AU77" s="228">
        <f t="shared" si="4"/>
        <v>32389.199999999997</v>
      </c>
      <c r="AV77" s="279">
        <f t="shared" si="5"/>
        <v>108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244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/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368</v>
      </c>
      <c r="AU78" s="228"/>
      <c r="AV78" s="279">
        <f t="shared" si="5"/>
        <v>368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224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224</v>
      </c>
      <c r="AU79" s="228"/>
      <c r="AV79" s="279">
        <f t="shared" si="5"/>
        <v>224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244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176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176</v>
      </c>
      <c r="AU80" s="228"/>
      <c r="AV80" s="279">
        <f t="shared" si="5"/>
        <v>176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285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154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154</v>
      </c>
      <c r="AU81" s="228"/>
      <c r="AV81" s="279">
        <f t="shared" si="5"/>
        <v>154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293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84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84</v>
      </c>
      <c r="AU82" s="228"/>
      <c r="AV82" s="279">
        <f t="shared" si="5"/>
        <v>84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48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48</v>
      </c>
      <c r="AU83" s="228"/>
      <c r="AV83" s="279">
        <f t="shared" si="5"/>
        <v>48</v>
      </c>
    </row>
    <row r="84" spans="1:48" s="62" customFormat="1" ht="31.5">
      <c r="A84" s="59"/>
      <c r="B84" s="60"/>
      <c r="C84" s="60"/>
      <c r="D84" s="22"/>
      <c r="E84" s="79"/>
      <c r="F84" s="51" t="s">
        <v>57</v>
      </c>
      <c r="G84" s="275" t="s">
        <v>121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278" t="s">
        <v>266</v>
      </c>
      <c r="V84" s="115"/>
      <c r="W84" s="114"/>
      <c r="X84" s="115"/>
      <c r="Y84" s="221"/>
      <c r="Z84" s="115"/>
      <c r="AA84" s="221"/>
      <c r="AB84" s="22"/>
      <c r="AC84" s="170"/>
      <c r="AD84" s="208"/>
      <c r="AE84" s="170"/>
      <c r="AF84" s="208"/>
      <c r="AG84" s="170"/>
      <c r="AH84" s="208"/>
      <c r="AI84" s="170"/>
      <c r="AJ84" s="233">
        <v>766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33">
        <v>0</v>
      </c>
      <c r="AU84" s="386"/>
      <c r="AV84" s="233">
        <f t="shared" si="5"/>
        <v>0</v>
      </c>
    </row>
    <row r="85" spans="1:48" s="62" customFormat="1" ht="31.5">
      <c r="A85" s="59"/>
      <c r="B85" s="60"/>
      <c r="C85" s="60"/>
      <c r="D85" s="22"/>
      <c r="E85" s="79"/>
      <c r="F85" s="150" t="s">
        <v>57</v>
      </c>
      <c r="G85" s="222" t="s">
        <v>121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266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450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136</v>
      </c>
      <c r="AU85" s="228"/>
      <c r="AV85" s="279">
        <f t="shared" si="5"/>
        <v>136</v>
      </c>
    </row>
    <row r="86" spans="1:48" s="62" customFormat="1" ht="31.5">
      <c r="A86" s="59"/>
      <c r="B86" s="60"/>
      <c r="C86" s="60"/>
      <c r="D86" s="22"/>
      <c r="E86" s="79"/>
      <c r="F86" s="150" t="s">
        <v>57</v>
      </c>
      <c r="G86" s="222" t="s">
        <v>279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266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610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27">
        <v>610</v>
      </c>
      <c r="AU86" s="228"/>
      <c r="AV86" s="279">
        <f t="shared" si="5"/>
        <v>610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279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284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723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v>723</v>
      </c>
      <c r="AU87" s="228"/>
      <c r="AV87" s="279">
        <f t="shared" si="5"/>
        <v>723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311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724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724</v>
      </c>
      <c r="AU88" s="228"/>
      <c r="AV88" s="279">
        <f t="shared" si="5"/>
        <v>724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311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726</v>
      </c>
      <c r="AU89" s="228"/>
      <c r="AV89" s="279">
        <f t="shared" si="5"/>
        <v>726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61" t="s">
        <v>61</v>
      </c>
      <c r="G90" s="222" t="s">
        <v>127</v>
      </c>
      <c r="H90" s="193" t="s">
        <v>91</v>
      </c>
      <c r="I90" s="193" t="s">
        <v>91</v>
      </c>
      <c r="J90" s="193">
        <v>48</v>
      </c>
      <c r="K90" s="193">
        <v>3</v>
      </c>
      <c r="L90" s="243">
        <v>71.97</v>
      </c>
      <c r="M90" s="242">
        <f t="shared" ref="M90:M91" si="11">J90*K90</f>
        <v>144</v>
      </c>
      <c r="N90" s="243">
        <f t="shared" ref="N90:N91" si="12">L90*M90</f>
        <v>10363.68</v>
      </c>
      <c r="O90" s="193">
        <v>14</v>
      </c>
      <c r="P90" s="243">
        <v>714.98</v>
      </c>
      <c r="Q90" s="193"/>
      <c r="R90" s="243"/>
      <c r="S90" s="193"/>
      <c r="T90" s="243"/>
      <c r="U90" s="203" t="s">
        <v>128</v>
      </c>
      <c r="V90" s="115">
        <v>135</v>
      </c>
      <c r="W90" s="114">
        <v>42761</v>
      </c>
      <c r="X90" s="193" t="s">
        <v>126</v>
      </c>
      <c r="Y90" s="200">
        <v>43130</v>
      </c>
      <c r="Z90" s="193"/>
      <c r="AA90" s="193"/>
      <c r="AB90" s="22">
        <v>0</v>
      </c>
      <c r="AC90" s="170">
        <v>0</v>
      </c>
      <c r="AD90" s="209">
        <v>14</v>
      </c>
      <c r="AE90" s="194">
        <v>774.48</v>
      </c>
      <c r="AF90" s="209"/>
      <c r="AG90" s="194"/>
      <c r="AH90" s="209"/>
      <c r="AI90" s="194"/>
      <c r="AJ90" s="232"/>
      <c r="AK90" s="170">
        <f t="shared" si="6"/>
        <v>774.48</v>
      </c>
      <c r="AL90" s="272">
        <v>0</v>
      </c>
      <c r="AM90" s="212">
        <v>0</v>
      </c>
      <c r="AN90" s="269">
        <v>14</v>
      </c>
      <c r="AO90" s="217">
        <f t="shared" ref="AO90:AO91" si="13">AC90+AK90-AM90</f>
        <v>774.48</v>
      </c>
      <c r="AP90" s="232"/>
      <c r="AQ90" s="229"/>
      <c r="AR90" s="212">
        <v>55.32</v>
      </c>
      <c r="AS90" s="212">
        <f t="shared" si="3"/>
        <v>0</v>
      </c>
      <c r="AT90" s="227">
        <v>10</v>
      </c>
      <c r="AU90" s="228">
        <f t="shared" si="4"/>
        <v>553.20000000000005</v>
      </c>
      <c r="AV90" s="279">
        <f t="shared" si="5"/>
        <v>10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61" t="s">
        <v>61</v>
      </c>
      <c r="G91" s="222" t="s">
        <v>127</v>
      </c>
      <c r="H91" s="193" t="s">
        <v>91</v>
      </c>
      <c r="I91" s="193" t="s">
        <v>91</v>
      </c>
      <c r="J91" s="193"/>
      <c r="K91" s="193"/>
      <c r="L91" s="243"/>
      <c r="M91" s="242">
        <f t="shared" si="11"/>
        <v>0</v>
      </c>
      <c r="N91" s="243">
        <f t="shared" si="12"/>
        <v>0</v>
      </c>
      <c r="O91" s="193"/>
      <c r="P91" s="243"/>
      <c r="Q91" s="193"/>
      <c r="R91" s="243"/>
      <c r="S91" s="193"/>
      <c r="T91" s="243"/>
      <c r="U91" s="203" t="s">
        <v>171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26</v>
      </c>
      <c r="AE91" s="194">
        <v>1438.32</v>
      </c>
      <c r="AF91" s="209"/>
      <c r="AG91" s="194"/>
      <c r="AH91" s="209"/>
      <c r="AI91" s="194"/>
      <c r="AJ91" s="232"/>
      <c r="AK91" s="170">
        <f t="shared" si="6"/>
        <v>1438.32</v>
      </c>
      <c r="AL91" s="272">
        <v>0</v>
      </c>
      <c r="AM91" s="212">
        <v>0</v>
      </c>
      <c r="AN91" s="269">
        <v>26</v>
      </c>
      <c r="AO91" s="217">
        <f t="shared" si="13"/>
        <v>1438.32</v>
      </c>
      <c r="AP91" s="232"/>
      <c r="AQ91" s="229"/>
      <c r="AR91" s="212">
        <v>55.32</v>
      </c>
      <c r="AS91" s="212">
        <f t="shared" si="3"/>
        <v>0</v>
      </c>
      <c r="AT91" s="227">
        <v>26</v>
      </c>
      <c r="AU91" s="228">
        <f t="shared" si="4"/>
        <v>1438.32</v>
      </c>
      <c r="AV91" s="279">
        <f t="shared" si="5"/>
        <v>26</v>
      </c>
    </row>
    <row r="92" spans="1:48" s="251" customFormat="1" ht="21" customHeight="1">
      <c r="A92" s="20" t="s">
        <v>11</v>
      </c>
      <c r="B92" s="20"/>
      <c r="C92" s="20"/>
      <c r="D92" s="695" t="s">
        <v>34</v>
      </c>
      <c r="E92" s="696"/>
      <c r="F92" s="697"/>
      <c r="G92" s="246"/>
      <c r="H92" s="246"/>
      <c r="I92" s="246"/>
      <c r="J92" s="246"/>
      <c r="K92" s="247">
        <f>SUM(K17:K91)</f>
        <v>24</v>
      </c>
      <c r="L92" s="248"/>
      <c r="M92" s="246"/>
      <c r="N92" s="249">
        <f>SUM(N17:N91)</f>
        <v>2156307.44</v>
      </c>
      <c r="O92" s="248"/>
      <c r="P92" s="249">
        <f>SUM(P17:P91)</f>
        <v>1298976.4000000001</v>
      </c>
      <c r="Q92" s="248"/>
      <c r="R92" s="249">
        <f>SUM(R17:R91)</f>
        <v>928054.79999999993</v>
      </c>
      <c r="S92" s="248"/>
      <c r="T92" s="249">
        <f>SUM(T17:T91)</f>
        <v>466648.98</v>
      </c>
      <c r="U92" s="291" t="s">
        <v>156</v>
      </c>
      <c r="V92" s="291" t="s">
        <v>156</v>
      </c>
      <c r="W92" s="291" t="s">
        <v>156</v>
      </c>
      <c r="X92" s="250" t="s">
        <v>156</v>
      </c>
      <c r="Y92" s="250" t="s">
        <v>156</v>
      </c>
      <c r="Z92" s="250" t="s">
        <v>156</v>
      </c>
      <c r="AA92" s="250" t="s">
        <v>156</v>
      </c>
      <c r="AB92" s="176">
        <f>SUM(AB17:AB46)</f>
        <v>140</v>
      </c>
      <c r="AC92" s="171">
        <f>SUM(AC17:AC71)</f>
        <v>77947.959999999992</v>
      </c>
      <c r="AD92" s="210">
        <f t="shared" ref="AD92:AQ92" si="14">SUM(AD17:AD91)</f>
        <v>4914</v>
      </c>
      <c r="AE92" s="195">
        <f t="shared" si="14"/>
        <v>1078752.51</v>
      </c>
      <c r="AF92" s="210">
        <f t="shared" si="14"/>
        <v>0</v>
      </c>
      <c r="AG92" s="195">
        <f t="shared" si="14"/>
        <v>0</v>
      </c>
      <c r="AH92" s="210">
        <f t="shared" si="14"/>
        <v>0</v>
      </c>
      <c r="AI92" s="195">
        <f t="shared" si="14"/>
        <v>0</v>
      </c>
      <c r="AJ92" s="210">
        <f t="shared" si="14"/>
        <v>6978</v>
      </c>
      <c r="AK92" s="175">
        <f t="shared" si="14"/>
        <v>1078752.51</v>
      </c>
      <c r="AL92" s="213">
        <f t="shared" si="14"/>
        <v>742</v>
      </c>
      <c r="AM92" s="214">
        <f t="shared" si="14"/>
        <v>175808.55000000005</v>
      </c>
      <c r="AN92" s="218">
        <f t="shared" si="14"/>
        <v>4312</v>
      </c>
      <c r="AO92" s="219">
        <f t="shared" si="14"/>
        <v>964298.99000000011</v>
      </c>
      <c r="AP92" s="286">
        <f t="shared" si="14"/>
        <v>0</v>
      </c>
      <c r="AQ92" s="287">
        <f t="shared" si="14"/>
        <v>0</v>
      </c>
      <c r="AR92" s="226" t="s">
        <v>156</v>
      </c>
      <c r="AS92" s="226">
        <f>SUM(AS17:AS91)</f>
        <v>0</v>
      </c>
      <c r="AT92" s="227">
        <f>SUM(AT17:AT91)</f>
        <v>8820</v>
      </c>
      <c r="AU92" s="228">
        <f>SUM(AU17:AU91)</f>
        <v>628781.37999999989</v>
      </c>
      <c r="AV92" s="510">
        <f>SUM(AV17:AV91)</f>
        <v>8820</v>
      </c>
    </row>
    <row r="93" spans="1:48" s="336" customFormat="1" ht="2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47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336" customFormat="1" ht="21" hidden="1" customHeight="1">
      <c r="A94" s="20"/>
      <c r="B94" s="20"/>
      <c r="C94" s="20"/>
      <c r="D94" s="294"/>
      <c r="E94" s="294"/>
      <c r="F94" s="294"/>
      <c r="G94" s="330"/>
      <c r="H94" s="330"/>
      <c r="I94" s="330"/>
      <c r="J94" s="330"/>
      <c r="K94" s="331"/>
      <c r="L94" s="332"/>
      <c r="M94" s="330"/>
      <c r="N94" s="333"/>
      <c r="O94" s="332"/>
      <c r="P94" s="333"/>
      <c r="Q94" s="332"/>
      <c r="R94" s="333"/>
      <c r="S94" s="332"/>
      <c r="T94" s="333"/>
      <c r="U94" s="295"/>
      <c r="V94" s="295"/>
      <c r="W94" s="295"/>
      <c r="X94" s="295"/>
      <c r="Y94" s="295"/>
      <c r="Z94" s="295"/>
      <c r="AA94" s="295"/>
      <c r="AB94" s="296"/>
      <c r="AC94" s="297"/>
      <c r="AD94" s="296"/>
      <c r="AE94" s="297"/>
      <c r="AF94" s="296"/>
      <c r="AG94" s="297"/>
      <c r="AH94" s="296"/>
      <c r="AI94" s="297"/>
      <c r="AJ94" s="478"/>
      <c r="AK94" s="299"/>
      <c r="AL94" s="334"/>
      <c r="AM94" s="297"/>
      <c r="AN94" s="296"/>
      <c r="AO94" s="297"/>
      <c r="AP94" s="298"/>
      <c r="AQ94" s="335"/>
      <c r="AR94" s="333"/>
      <c r="AS94" s="333"/>
      <c r="AT94" s="331"/>
      <c r="AU94" s="333"/>
      <c r="AV94" s="331"/>
    </row>
    <row r="95" spans="1:48" s="292" customFormat="1" ht="20.25" hidden="1">
      <c r="A95" s="301"/>
      <c r="B95" s="301"/>
      <c r="C95" s="301"/>
      <c r="D95" s="302"/>
      <c r="E95" s="301"/>
      <c r="F95" s="303" t="s">
        <v>205</v>
      </c>
      <c r="G95" s="303"/>
      <c r="H95" s="303" t="s">
        <v>208</v>
      </c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 t="s">
        <v>208</v>
      </c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479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20.25" hidden="1">
      <c r="A97" s="301"/>
      <c r="B97" s="301"/>
      <c r="C97" s="301"/>
      <c r="D97" s="302"/>
      <c r="E97" s="301"/>
      <c r="F97" s="303"/>
      <c r="G97" s="303"/>
      <c r="H97" s="303"/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5" hidden="1" customHeight="1">
      <c r="A98" s="309"/>
      <c r="B98" s="309"/>
      <c r="C98" s="309"/>
      <c r="D98" s="302"/>
      <c r="E98" s="309"/>
      <c r="F98" s="310"/>
      <c r="G98" s="310"/>
      <c r="H98" s="308"/>
      <c r="I98" s="308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8"/>
      <c r="V98" s="311"/>
      <c r="AA98" s="311"/>
      <c r="AJ98" s="480"/>
      <c r="AK98" s="312"/>
      <c r="AL98" s="309"/>
      <c r="AM98" s="31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18" hidden="1" customHeight="1">
      <c r="A99" s="314" t="s">
        <v>12</v>
      </c>
      <c r="B99" s="314"/>
      <c r="C99" s="314"/>
      <c r="D99" s="315"/>
      <c r="E99" s="314"/>
      <c r="F99" s="316" t="s">
        <v>206</v>
      </c>
      <c r="G99" s="316"/>
      <c r="H99" s="736" t="s">
        <v>209</v>
      </c>
      <c r="I99" s="736"/>
      <c r="J99" s="736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8"/>
      <c r="V99" s="319"/>
      <c r="X99" s="303"/>
      <c r="Y99" s="316"/>
      <c r="Z99" s="316"/>
      <c r="AA99" s="320" t="s">
        <v>209</v>
      </c>
      <c r="AB99" s="316"/>
      <c r="AC99" s="316"/>
      <c r="AD99" s="316"/>
      <c r="AE99" s="316"/>
      <c r="AF99" s="316"/>
      <c r="AG99" s="316"/>
      <c r="AH99" s="316"/>
      <c r="AI99" s="316"/>
      <c r="AJ99" s="481"/>
      <c r="AK99" s="316"/>
      <c r="AL99" s="314"/>
      <c r="AM99" s="316"/>
      <c r="AN99" s="314"/>
      <c r="AO99" s="321"/>
      <c r="AP99" s="307"/>
      <c r="AQ99" s="302"/>
      <c r="AR99" s="308"/>
      <c r="AS99" s="308"/>
      <c r="AT99" s="302"/>
      <c r="AU99" s="302"/>
      <c r="AV99" s="302"/>
    </row>
    <row r="100" spans="1:48" s="62" customFormat="1" ht="18.75" hidden="1">
      <c r="A100" s="11"/>
      <c r="B100" s="11"/>
      <c r="C100" s="11"/>
      <c r="D100" s="255"/>
      <c r="E100" s="11"/>
      <c r="F100" s="322"/>
      <c r="G100" s="322"/>
      <c r="H100" s="322"/>
      <c r="I100" s="322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482"/>
      <c r="AK100" s="322"/>
      <c r="AL100" s="324"/>
      <c r="AM100" s="322"/>
      <c r="AN100" s="281"/>
      <c r="AO100" s="325"/>
      <c r="AP100" s="326"/>
      <c r="AQ100" s="568"/>
      <c r="AR100" s="255"/>
      <c r="AS100" s="255"/>
      <c r="AT100" s="568"/>
      <c r="AU100" s="568"/>
      <c r="AV100" s="568"/>
    </row>
    <row r="101" spans="1:48" s="103" customFormat="1" ht="57.75" hidden="1" customHeight="1">
      <c r="A101" s="11"/>
      <c r="B101" s="11"/>
      <c r="C101" s="11"/>
      <c r="D101" s="255"/>
      <c r="E101" s="720" t="s">
        <v>207</v>
      </c>
      <c r="F101" s="720"/>
      <c r="G101" s="327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9"/>
      <c r="W101" s="329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483"/>
      <c r="AK101" s="11"/>
      <c r="AL101" s="281"/>
      <c r="AM101" s="11"/>
      <c r="AN101" s="281"/>
      <c r="AP101" s="326"/>
      <c r="AQ101" s="568"/>
      <c r="AR101" s="255"/>
      <c r="AS101" s="255"/>
      <c r="AT101" s="568"/>
      <c r="AU101" s="568"/>
      <c r="AV101" s="568"/>
    </row>
  </sheetData>
  <mergeCells count="40">
    <mergeCell ref="D11:AV11"/>
    <mergeCell ref="E6:AT6"/>
    <mergeCell ref="D7:AV7"/>
    <mergeCell ref="D8:AV8"/>
    <mergeCell ref="D9:AV9"/>
    <mergeCell ref="D10:AV10"/>
    <mergeCell ref="E101:F101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2:F92"/>
    <mergeCell ref="H99:J99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71"/>
  <sheetViews>
    <sheetView view="pageBreakPreview" topLeftCell="C22" zoomScale="85" zoomScaleSheetLayoutView="85" workbookViewId="0">
      <selection activeCell="O30" sqref="O30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customWidth="1"/>
    <col min="14" max="14" width="15" customWidth="1"/>
    <col min="15" max="15" width="11.7109375" customWidth="1"/>
    <col min="16" max="16" width="15.5703125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</row>
    <row r="4" spans="1:16" s="1" customFormat="1">
      <c r="E4" s="15"/>
      <c r="F4" s="2"/>
      <c r="G4" s="105"/>
      <c r="J4" s="30"/>
      <c r="M4" s="30" t="s">
        <v>21</v>
      </c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63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31"/>
      <c r="N14" s="31"/>
      <c r="O14" s="31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1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47">
        <v>2</v>
      </c>
      <c r="F18" s="146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71">
        <v>169.84</v>
      </c>
      <c r="K19" s="70"/>
      <c r="L19" s="72"/>
      <c r="M19" s="70"/>
      <c r="N19" s="71"/>
      <c r="O19" s="70">
        <f t="shared" ref="O19:P34" si="0">I19+K19-M19</f>
        <v>6</v>
      </c>
      <c r="P19" s="71">
        <f t="shared" si="0"/>
        <v>169.84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53" t="s">
        <v>31</v>
      </c>
      <c r="G20" s="54">
        <v>42347</v>
      </c>
      <c r="H20" s="55">
        <v>833</v>
      </c>
      <c r="I20" s="56">
        <v>1</v>
      </c>
      <c r="J20" s="57">
        <v>1026.1600000000001</v>
      </c>
      <c r="K20" s="56"/>
      <c r="L20" s="58"/>
      <c r="M20" s="56"/>
      <c r="N20" s="57"/>
      <c r="O20" s="56">
        <f t="shared" si="0"/>
        <v>1</v>
      </c>
      <c r="P20" s="57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82" t="s">
        <v>31</v>
      </c>
      <c r="G21" s="83">
        <v>42647</v>
      </c>
      <c r="H21" s="84">
        <v>1034</v>
      </c>
      <c r="I21" s="85">
        <v>1</v>
      </c>
      <c r="J21" s="86">
        <v>1026.1600000000001</v>
      </c>
      <c r="K21" s="85"/>
      <c r="L21" s="87"/>
      <c r="M21" s="85"/>
      <c r="N21" s="86"/>
      <c r="O21" s="85">
        <f t="shared" si="0"/>
        <v>1</v>
      </c>
      <c r="P21" s="86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53" t="s">
        <v>29</v>
      </c>
      <c r="G22" s="54">
        <v>42347</v>
      </c>
      <c r="H22" s="55">
        <v>833</v>
      </c>
      <c r="I22" s="56">
        <v>1</v>
      </c>
      <c r="J22" s="57">
        <v>2094.4</v>
      </c>
      <c r="K22" s="56"/>
      <c r="L22" s="58"/>
      <c r="M22" s="56"/>
      <c r="N22" s="57"/>
      <c r="O22" s="56">
        <f t="shared" si="0"/>
        <v>1</v>
      </c>
      <c r="P22" s="57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82" t="s">
        <v>29</v>
      </c>
      <c r="G23" s="83">
        <v>42647</v>
      </c>
      <c r="H23" s="84">
        <v>1034</v>
      </c>
      <c r="I23" s="85">
        <v>1</v>
      </c>
      <c r="J23" s="86">
        <v>2094.4</v>
      </c>
      <c r="K23" s="85"/>
      <c r="L23" s="87"/>
      <c r="M23" s="85"/>
      <c r="N23" s="86"/>
      <c r="O23" s="85">
        <f t="shared" si="0"/>
        <v>1</v>
      </c>
      <c r="P23" s="86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53" t="s">
        <v>32</v>
      </c>
      <c r="G24" s="54">
        <v>42347</v>
      </c>
      <c r="H24" s="55">
        <v>833</v>
      </c>
      <c r="I24" s="56">
        <v>6</v>
      </c>
      <c r="J24" s="57">
        <v>4721.3999999999996</v>
      </c>
      <c r="K24" s="56"/>
      <c r="L24" s="58"/>
      <c r="M24" s="56"/>
      <c r="N24" s="57"/>
      <c r="O24" s="56">
        <f t="shared" si="0"/>
        <v>6</v>
      </c>
      <c r="P24" s="57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13" t="s">
        <v>40</v>
      </c>
      <c r="G25" s="114">
        <v>42976</v>
      </c>
      <c r="H25" s="115">
        <v>977</v>
      </c>
      <c r="I25" s="35">
        <v>4</v>
      </c>
      <c r="J25" s="77">
        <v>8081.6</v>
      </c>
      <c r="K25" s="35"/>
      <c r="L25" s="78"/>
      <c r="M25" s="35"/>
      <c r="N25" s="77"/>
      <c r="O25" s="35">
        <f t="shared" si="0"/>
        <v>4</v>
      </c>
      <c r="P25" s="77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51" t="s">
        <v>41</v>
      </c>
      <c r="G26" s="114">
        <v>43046</v>
      </c>
      <c r="H26" s="115">
        <v>1379</v>
      </c>
      <c r="I26" s="35">
        <v>180</v>
      </c>
      <c r="J26" s="77">
        <v>25070.400000000001</v>
      </c>
      <c r="K26" s="35"/>
      <c r="L26" s="78"/>
      <c r="M26" s="35"/>
      <c r="N26" s="77"/>
      <c r="O26" s="35">
        <f t="shared" si="0"/>
        <v>180</v>
      </c>
      <c r="P26" s="77">
        <f t="shared" si="0"/>
        <v>25070.400000000001</v>
      </c>
      <c r="Q26" s="61"/>
      <c r="R26" s="61"/>
    </row>
    <row r="27" spans="1:18" s="62" customFormat="1" ht="31.5">
      <c r="A27" s="59"/>
      <c r="B27" s="60"/>
      <c r="C27" s="60"/>
      <c r="D27" s="79" t="s">
        <v>24</v>
      </c>
      <c r="E27" s="75">
        <v>2301400</v>
      </c>
      <c r="F27" s="51" t="s">
        <v>53</v>
      </c>
      <c r="G27" s="114">
        <v>43046</v>
      </c>
      <c r="H27" s="115">
        <v>1379</v>
      </c>
      <c r="I27" s="35">
        <v>180</v>
      </c>
      <c r="J27" s="77">
        <v>94469.4</v>
      </c>
      <c r="K27" s="35"/>
      <c r="L27" s="78"/>
      <c r="M27" s="35"/>
      <c r="N27" s="77"/>
      <c r="O27" s="35">
        <f t="shared" si="0"/>
        <v>180</v>
      </c>
      <c r="P27" s="77">
        <f t="shared" si="0"/>
        <v>94469.4</v>
      </c>
      <c r="Q27" s="61"/>
      <c r="R27" s="61"/>
    </row>
    <row r="28" spans="1:18" s="62" customFormat="1" ht="26.25" customHeight="1">
      <c r="A28" s="59"/>
      <c r="B28" s="60"/>
      <c r="C28" s="60"/>
      <c r="D28" s="79" t="s">
        <v>24</v>
      </c>
      <c r="E28" s="75">
        <v>2301400</v>
      </c>
      <c r="F28" s="149" t="s">
        <v>44</v>
      </c>
      <c r="G28" s="114">
        <v>43066</v>
      </c>
      <c r="H28" s="115">
        <v>1476</v>
      </c>
      <c r="I28" s="35">
        <v>5</v>
      </c>
      <c r="J28" s="77">
        <v>1010.9</v>
      </c>
      <c r="K28" s="35"/>
      <c r="L28" s="78"/>
      <c r="M28" s="35"/>
      <c r="N28" s="77"/>
      <c r="O28" s="35">
        <f t="shared" si="0"/>
        <v>5</v>
      </c>
      <c r="P28" s="77">
        <f t="shared" si="0"/>
        <v>1010.9</v>
      </c>
      <c r="Q28" s="61"/>
      <c r="R28" s="61"/>
    </row>
    <row r="29" spans="1:18" s="62" customFormat="1" ht="26.25" customHeight="1">
      <c r="A29" s="59"/>
      <c r="B29" s="60"/>
      <c r="C29" s="60"/>
      <c r="D29" s="79" t="s">
        <v>24</v>
      </c>
      <c r="E29" s="75">
        <v>2301400</v>
      </c>
      <c r="F29" s="149" t="s">
        <v>44</v>
      </c>
      <c r="G29" s="114">
        <v>43061</v>
      </c>
      <c r="H29" s="115" t="s">
        <v>59</v>
      </c>
      <c r="I29" s="35">
        <v>205</v>
      </c>
      <c r="J29" s="77">
        <v>41446.9</v>
      </c>
      <c r="K29" s="35"/>
      <c r="L29" s="78"/>
      <c r="M29" s="35"/>
      <c r="N29" s="77"/>
      <c r="O29" s="35">
        <f t="shared" si="0"/>
        <v>205</v>
      </c>
      <c r="P29" s="77">
        <f t="shared" si="0"/>
        <v>41446.9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155" t="s">
        <v>55</v>
      </c>
      <c r="G30" s="114">
        <v>43046</v>
      </c>
      <c r="H30" s="115">
        <v>1379</v>
      </c>
      <c r="I30" s="35">
        <v>44</v>
      </c>
      <c r="J30" s="77">
        <v>13134</v>
      </c>
      <c r="K30" s="35"/>
      <c r="L30" s="78"/>
      <c r="M30" s="35"/>
      <c r="N30" s="77"/>
      <c r="O30" s="35">
        <f t="shared" si="0"/>
        <v>44</v>
      </c>
      <c r="P30" s="77">
        <f t="shared" si="0"/>
        <v>13134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155" t="s">
        <v>55</v>
      </c>
      <c r="G31" s="114">
        <v>43066</v>
      </c>
      <c r="H31" s="115">
        <v>1476</v>
      </c>
      <c r="I31" s="35">
        <v>6</v>
      </c>
      <c r="J31" s="77">
        <v>1791</v>
      </c>
      <c r="K31" s="35"/>
      <c r="L31" s="78"/>
      <c r="M31" s="35"/>
      <c r="N31" s="77"/>
      <c r="O31" s="35">
        <f t="shared" si="0"/>
        <v>6</v>
      </c>
      <c r="P31" s="77">
        <f t="shared" si="0"/>
        <v>1791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155" t="s">
        <v>55</v>
      </c>
      <c r="G32" s="114">
        <v>43061</v>
      </c>
      <c r="H32" s="115" t="s">
        <v>59</v>
      </c>
      <c r="I32" s="35">
        <v>36</v>
      </c>
      <c r="J32" s="77">
        <v>10746</v>
      </c>
      <c r="K32" s="35"/>
      <c r="L32" s="78"/>
      <c r="M32" s="35"/>
      <c r="N32" s="77"/>
      <c r="O32" s="35">
        <f t="shared" si="0"/>
        <v>36</v>
      </c>
      <c r="P32" s="77">
        <f t="shared" si="0"/>
        <v>10746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155" t="s">
        <v>55</v>
      </c>
      <c r="G33" s="114">
        <v>43061</v>
      </c>
      <c r="H33" s="115" t="s">
        <v>59</v>
      </c>
      <c r="I33" s="35">
        <v>86</v>
      </c>
      <c r="J33" s="77">
        <v>25671</v>
      </c>
      <c r="K33" s="35"/>
      <c r="L33" s="78"/>
      <c r="M33" s="35"/>
      <c r="N33" s="77"/>
      <c r="O33" s="35">
        <f t="shared" si="0"/>
        <v>86</v>
      </c>
      <c r="P33" s="77">
        <f t="shared" si="0"/>
        <v>25671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50" t="s">
        <v>56</v>
      </c>
      <c r="G34" s="114">
        <v>43046</v>
      </c>
      <c r="H34" s="115">
        <v>1379</v>
      </c>
      <c r="I34" s="35">
        <v>18</v>
      </c>
      <c r="J34" s="77">
        <v>5398.2</v>
      </c>
      <c r="K34" s="35"/>
      <c r="L34" s="78"/>
      <c r="M34" s="35"/>
      <c r="N34" s="77"/>
      <c r="O34" s="35">
        <f t="shared" si="0"/>
        <v>18</v>
      </c>
      <c r="P34" s="77">
        <f t="shared" si="0"/>
        <v>5398.2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50" t="s">
        <v>56</v>
      </c>
      <c r="G35" s="114">
        <v>43066</v>
      </c>
      <c r="H35" s="115">
        <v>1476</v>
      </c>
      <c r="I35" s="35">
        <v>162</v>
      </c>
      <c r="J35" s="77">
        <v>48583.8</v>
      </c>
      <c r="K35" s="35"/>
      <c r="L35" s="78"/>
      <c r="M35" s="35"/>
      <c r="N35" s="77"/>
      <c r="O35" s="35">
        <f t="shared" ref="O35:P62" si="1">I35+K35-M35</f>
        <v>162</v>
      </c>
      <c r="P35" s="77">
        <f t="shared" si="1"/>
        <v>48583.8</v>
      </c>
      <c r="Q35" s="61"/>
      <c r="R35" s="61"/>
    </row>
    <row r="36" spans="1:18" s="62" customFormat="1" ht="24" customHeight="1">
      <c r="A36" s="59"/>
      <c r="B36" s="60"/>
      <c r="C36" s="60"/>
      <c r="D36" s="79" t="s">
        <v>24</v>
      </c>
      <c r="E36" s="75">
        <v>2301400</v>
      </c>
      <c r="F36" s="53" t="s">
        <v>43</v>
      </c>
      <c r="G36" s="114">
        <v>43047</v>
      </c>
      <c r="H36" s="115">
        <v>1381</v>
      </c>
      <c r="I36" s="35">
        <v>40</v>
      </c>
      <c r="J36" s="77">
        <v>21408.799999999999</v>
      </c>
      <c r="K36" s="35"/>
      <c r="L36" s="78"/>
      <c r="M36" s="156">
        <v>40</v>
      </c>
      <c r="N36" s="157">
        <v>21408.799999999999</v>
      </c>
      <c r="O36" s="156">
        <f t="shared" si="1"/>
        <v>0</v>
      </c>
      <c r="P36" s="157">
        <f t="shared" si="1"/>
        <v>0</v>
      </c>
      <c r="Q36" s="61"/>
      <c r="R36" s="61"/>
    </row>
    <row r="37" spans="1:18" s="62" customFormat="1" ht="24" customHeight="1">
      <c r="A37" s="59"/>
      <c r="B37" s="60"/>
      <c r="C37" s="60"/>
      <c r="D37" s="79" t="s">
        <v>24</v>
      </c>
      <c r="E37" s="75">
        <v>2301400</v>
      </c>
      <c r="F37" s="53" t="s">
        <v>43</v>
      </c>
      <c r="G37" s="114">
        <v>43040</v>
      </c>
      <c r="H37" s="115">
        <v>1353</v>
      </c>
      <c r="I37" s="35">
        <v>210</v>
      </c>
      <c r="J37" s="77">
        <v>112396.2</v>
      </c>
      <c r="K37" s="35"/>
      <c r="L37" s="78"/>
      <c r="M37" s="156">
        <v>55</v>
      </c>
      <c r="N37" s="157">
        <v>29437.1</v>
      </c>
      <c r="O37" s="156">
        <f t="shared" si="1"/>
        <v>155</v>
      </c>
      <c r="P37" s="157">
        <f t="shared" si="1"/>
        <v>82959.100000000006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48</v>
      </c>
      <c r="G38" s="114">
        <v>43052</v>
      </c>
      <c r="H38" s="115">
        <v>1405</v>
      </c>
      <c r="I38" s="35">
        <v>120</v>
      </c>
      <c r="J38" s="77">
        <v>58734</v>
      </c>
      <c r="K38" s="35"/>
      <c r="L38" s="78"/>
      <c r="M38" s="156">
        <v>15</v>
      </c>
      <c r="N38" s="157">
        <v>7341.75</v>
      </c>
      <c r="O38" s="156">
        <f t="shared" si="1"/>
        <v>105</v>
      </c>
      <c r="P38" s="157">
        <f t="shared" si="1"/>
        <v>51392.25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51" t="s">
        <v>48</v>
      </c>
      <c r="G39" s="114">
        <v>43066</v>
      </c>
      <c r="H39" s="115">
        <v>1476</v>
      </c>
      <c r="I39" s="35">
        <v>30</v>
      </c>
      <c r="J39" s="77">
        <v>14683.5</v>
      </c>
      <c r="K39" s="35"/>
      <c r="L39" s="78"/>
      <c r="M39" s="35">
        <v>30</v>
      </c>
      <c r="N39" s="77">
        <v>14683.5</v>
      </c>
      <c r="O39" s="35">
        <f t="shared" si="1"/>
        <v>0</v>
      </c>
      <c r="P39" s="77">
        <f t="shared" si="1"/>
        <v>0</v>
      </c>
      <c r="Q39" s="61"/>
      <c r="R39" s="61"/>
    </row>
    <row r="40" spans="1:18" s="134" customFormat="1" ht="27" customHeight="1">
      <c r="A40" s="131"/>
      <c r="B40" s="132"/>
      <c r="C40" s="60"/>
      <c r="D40" s="79" t="s">
        <v>24</v>
      </c>
      <c r="E40" s="75">
        <v>2301400</v>
      </c>
      <c r="F40" s="149" t="s">
        <v>44</v>
      </c>
      <c r="G40" s="114">
        <v>43082</v>
      </c>
      <c r="H40" s="115">
        <v>1583</v>
      </c>
      <c r="I40" s="22">
        <v>0</v>
      </c>
      <c r="J40" s="77">
        <v>0</v>
      </c>
      <c r="K40" s="35">
        <v>50</v>
      </c>
      <c r="L40" s="77">
        <v>10109</v>
      </c>
      <c r="M40" s="35">
        <v>0</v>
      </c>
      <c r="N40" s="77">
        <v>0</v>
      </c>
      <c r="O40" s="35">
        <f t="shared" ref="O40:P43" si="2">I40+K40-M40</f>
        <v>50</v>
      </c>
      <c r="P40" s="77">
        <f t="shared" si="2"/>
        <v>10109</v>
      </c>
      <c r="Q40" s="133"/>
      <c r="R40" s="133"/>
    </row>
    <row r="41" spans="1:18" s="139" customFormat="1" ht="27" customHeight="1">
      <c r="A41" s="136"/>
      <c r="B41" s="137"/>
      <c r="C41" s="60"/>
      <c r="D41" s="79" t="s">
        <v>24</v>
      </c>
      <c r="E41" s="75">
        <v>2301400</v>
      </c>
      <c r="F41" s="149" t="s">
        <v>54</v>
      </c>
      <c r="G41" s="114">
        <v>43096</v>
      </c>
      <c r="H41" s="115">
        <v>1745</v>
      </c>
      <c r="I41" s="22">
        <v>0</v>
      </c>
      <c r="J41" s="77">
        <v>0</v>
      </c>
      <c r="K41" s="35">
        <v>45</v>
      </c>
      <c r="L41" s="77">
        <v>9098.1</v>
      </c>
      <c r="M41" s="35">
        <v>0</v>
      </c>
      <c r="N41" s="77">
        <v>0</v>
      </c>
      <c r="O41" s="35">
        <f t="shared" si="2"/>
        <v>45</v>
      </c>
      <c r="P41" s="77">
        <f t="shared" si="2"/>
        <v>9098.1</v>
      </c>
      <c r="Q41" s="138"/>
      <c r="R41" s="138"/>
    </row>
    <row r="42" spans="1:18" s="62" customFormat="1" ht="26.25" customHeight="1">
      <c r="A42" s="59"/>
      <c r="B42" s="60"/>
      <c r="C42" s="60"/>
      <c r="D42" s="79" t="s">
        <v>24</v>
      </c>
      <c r="E42" s="75">
        <v>2301400</v>
      </c>
      <c r="F42" s="149" t="s">
        <v>44</v>
      </c>
      <c r="G42" s="114">
        <v>43164</v>
      </c>
      <c r="H42" s="115">
        <v>426</v>
      </c>
      <c r="I42" s="22">
        <v>0</v>
      </c>
      <c r="J42" s="77">
        <v>0</v>
      </c>
      <c r="K42" s="35">
        <v>50</v>
      </c>
      <c r="L42" s="77">
        <v>10109</v>
      </c>
      <c r="M42" s="35">
        <v>0</v>
      </c>
      <c r="N42" s="77">
        <v>0</v>
      </c>
      <c r="O42" s="35">
        <f t="shared" si="2"/>
        <v>50</v>
      </c>
      <c r="P42" s="77">
        <f t="shared" si="2"/>
        <v>10109</v>
      </c>
      <c r="Q42" s="61"/>
      <c r="R42" s="61"/>
    </row>
    <row r="43" spans="1:18" s="62" customFormat="1" ht="26.25" customHeight="1">
      <c r="A43" s="59"/>
      <c r="B43" s="60"/>
      <c r="C43" s="60"/>
      <c r="D43" s="79" t="s">
        <v>24</v>
      </c>
      <c r="E43" s="75">
        <v>2301400</v>
      </c>
      <c r="F43" s="149" t="s">
        <v>44</v>
      </c>
      <c r="G43" s="114">
        <v>43145</v>
      </c>
      <c r="H43" s="115">
        <v>260</v>
      </c>
      <c r="I43" s="22">
        <v>0</v>
      </c>
      <c r="J43" s="77">
        <v>0</v>
      </c>
      <c r="K43" s="35">
        <v>110</v>
      </c>
      <c r="L43" s="77">
        <v>22239.8</v>
      </c>
      <c r="M43" s="35">
        <v>0</v>
      </c>
      <c r="N43" s="77">
        <v>0</v>
      </c>
      <c r="O43" s="35">
        <f t="shared" si="2"/>
        <v>110</v>
      </c>
      <c r="P43" s="77">
        <f t="shared" si="2"/>
        <v>22239.8</v>
      </c>
      <c r="Q43" s="61"/>
      <c r="R43" s="61"/>
    </row>
    <row r="44" spans="1:18" s="134" customFormat="1" ht="27" customHeight="1">
      <c r="A44" s="131"/>
      <c r="B44" s="132"/>
      <c r="C44" s="60"/>
      <c r="D44" s="79" t="s">
        <v>24</v>
      </c>
      <c r="E44" s="75">
        <v>2301400</v>
      </c>
      <c r="F44" s="53" t="s">
        <v>52</v>
      </c>
      <c r="G44" s="114">
        <v>43087</v>
      </c>
      <c r="H44" s="115">
        <v>1625</v>
      </c>
      <c r="I44" s="22">
        <v>0</v>
      </c>
      <c r="J44" s="77">
        <v>0</v>
      </c>
      <c r="K44" s="35">
        <v>5</v>
      </c>
      <c r="L44" s="77">
        <v>1010.9</v>
      </c>
      <c r="M44" s="35">
        <v>0</v>
      </c>
      <c r="N44" s="77">
        <v>0</v>
      </c>
      <c r="O44" s="35">
        <f t="shared" si="1"/>
        <v>5</v>
      </c>
      <c r="P44" s="77">
        <f t="shared" si="1"/>
        <v>1010.9</v>
      </c>
      <c r="Q44" s="133"/>
      <c r="R44" s="133"/>
    </row>
    <row r="45" spans="1:18" s="134" customFormat="1" ht="27" customHeight="1">
      <c r="A45" s="131"/>
      <c r="B45" s="132"/>
      <c r="C45" s="60"/>
      <c r="D45" s="79" t="s">
        <v>24</v>
      </c>
      <c r="E45" s="75">
        <v>2301400</v>
      </c>
      <c r="F45" s="53" t="s">
        <v>52</v>
      </c>
      <c r="G45" s="114">
        <v>43082</v>
      </c>
      <c r="H45" s="115">
        <v>1583</v>
      </c>
      <c r="I45" s="22">
        <v>0</v>
      </c>
      <c r="J45" s="77">
        <v>0</v>
      </c>
      <c r="K45" s="35">
        <v>490</v>
      </c>
      <c r="L45" s="77">
        <v>99068.2</v>
      </c>
      <c r="M45" s="35">
        <v>0</v>
      </c>
      <c r="N45" s="77">
        <v>0</v>
      </c>
      <c r="O45" s="35">
        <f t="shared" si="1"/>
        <v>490</v>
      </c>
      <c r="P45" s="77">
        <f t="shared" si="1"/>
        <v>99068.2</v>
      </c>
      <c r="Q45" s="133"/>
      <c r="R45" s="133"/>
    </row>
    <row r="46" spans="1:18" s="139" customFormat="1" ht="27" customHeight="1">
      <c r="A46" s="136"/>
      <c r="B46" s="137"/>
      <c r="C46" s="60"/>
      <c r="D46" s="79" t="s">
        <v>24</v>
      </c>
      <c r="E46" s="75">
        <v>2301400</v>
      </c>
      <c r="F46" s="53" t="s">
        <v>52</v>
      </c>
      <c r="G46" s="114">
        <v>43096</v>
      </c>
      <c r="H46" s="115">
        <v>1745</v>
      </c>
      <c r="I46" s="22">
        <v>0</v>
      </c>
      <c r="J46" s="77">
        <v>0</v>
      </c>
      <c r="K46" s="35">
        <v>195</v>
      </c>
      <c r="L46" s="77">
        <v>39425.1</v>
      </c>
      <c r="M46" s="35">
        <v>0</v>
      </c>
      <c r="N46" s="77">
        <v>0</v>
      </c>
      <c r="O46" s="35">
        <f t="shared" si="1"/>
        <v>195</v>
      </c>
      <c r="P46" s="77">
        <f t="shared" si="1"/>
        <v>39425.1</v>
      </c>
      <c r="Q46" s="138"/>
      <c r="R46" s="138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53" t="s">
        <v>65</v>
      </c>
      <c r="G47" s="114">
        <v>43164</v>
      </c>
      <c r="H47" s="115">
        <v>426</v>
      </c>
      <c r="I47" s="22">
        <v>0</v>
      </c>
      <c r="J47" s="77">
        <v>0</v>
      </c>
      <c r="K47" s="35">
        <v>170</v>
      </c>
      <c r="L47" s="77">
        <v>34370.6</v>
      </c>
      <c r="M47" s="35">
        <v>0</v>
      </c>
      <c r="N47" s="77">
        <v>0</v>
      </c>
      <c r="O47" s="35">
        <f t="shared" ref="O47:P51" si="3">I47+K47-M47</f>
        <v>170</v>
      </c>
      <c r="P47" s="77">
        <f t="shared" si="3"/>
        <v>34370.6</v>
      </c>
      <c r="Q47" s="61"/>
      <c r="R47" s="61"/>
    </row>
    <row r="48" spans="1:18" s="62" customFormat="1" ht="26.25" customHeight="1">
      <c r="A48" s="59"/>
      <c r="B48" s="60"/>
      <c r="C48" s="60"/>
      <c r="D48" s="79" t="s">
        <v>24</v>
      </c>
      <c r="E48" s="75">
        <v>2301400</v>
      </c>
      <c r="F48" s="53" t="s">
        <v>65</v>
      </c>
      <c r="G48" s="114">
        <v>43143</v>
      </c>
      <c r="H48" s="115">
        <v>234</v>
      </c>
      <c r="I48" s="22">
        <v>0</v>
      </c>
      <c r="J48" s="77">
        <v>0</v>
      </c>
      <c r="K48" s="35">
        <v>320</v>
      </c>
      <c r="L48" s="77">
        <v>64697.599999999999</v>
      </c>
      <c r="M48" s="35">
        <v>0</v>
      </c>
      <c r="N48" s="77">
        <v>0</v>
      </c>
      <c r="O48" s="35">
        <f t="shared" si="3"/>
        <v>320</v>
      </c>
      <c r="P48" s="77">
        <f t="shared" si="3"/>
        <v>64697.599999999999</v>
      </c>
      <c r="Q48" s="61"/>
      <c r="R48" s="61"/>
    </row>
    <row r="49" spans="1:18" s="62" customFormat="1" ht="26.25" customHeight="1">
      <c r="A49" s="59"/>
      <c r="B49" s="60"/>
      <c r="C49" s="60"/>
      <c r="D49" s="79" t="s">
        <v>24</v>
      </c>
      <c r="E49" s="75">
        <v>2301400</v>
      </c>
      <c r="F49" s="53" t="s">
        <v>65</v>
      </c>
      <c r="G49" s="114">
        <v>43143</v>
      </c>
      <c r="H49" s="115">
        <v>234</v>
      </c>
      <c r="I49" s="22">
        <v>0</v>
      </c>
      <c r="J49" s="77">
        <v>0</v>
      </c>
      <c r="K49" s="35">
        <v>15</v>
      </c>
      <c r="L49" s="77">
        <v>3032.7</v>
      </c>
      <c r="M49" s="35">
        <v>0</v>
      </c>
      <c r="N49" s="77">
        <v>0</v>
      </c>
      <c r="O49" s="35">
        <f t="shared" si="3"/>
        <v>15</v>
      </c>
      <c r="P49" s="77">
        <f t="shared" si="3"/>
        <v>3032.7</v>
      </c>
      <c r="Q49" s="61"/>
      <c r="R49" s="61"/>
    </row>
    <row r="50" spans="1:18" s="62" customFormat="1" ht="27" customHeight="1">
      <c r="A50" s="59"/>
      <c r="B50" s="60"/>
      <c r="C50" s="60"/>
      <c r="D50" s="79" t="s">
        <v>24</v>
      </c>
      <c r="E50" s="75">
        <v>2301400</v>
      </c>
      <c r="F50" s="53" t="s">
        <v>65</v>
      </c>
      <c r="G50" s="114">
        <v>43159</v>
      </c>
      <c r="H50" s="115">
        <v>356</v>
      </c>
      <c r="I50" s="22">
        <v>0</v>
      </c>
      <c r="J50" s="77">
        <v>0</v>
      </c>
      <c r="K50" s="35">
        <v>170</v>
      </c>
      <c r="L50" s="77">
        <v>34370.6</v>
      </c>
      <c r="M50" s="35">
        <v>0</v>
      </c>
      <c r="N50" s="77">
        <v>0</v>
      </c>
      <c r="O50" s="35">
        <f t="shared" si="3"/>
        <v>170</v>
      </c>
      <c r="P50" s="77">
        <f t="shared" si="3"/>
        <v>34370.6</v>
      </c>
      <c r="Q50" s="61"/>
      <c r="R50" s="61"/>
    </row>
    <row r="51" spans="1:18" s="62" customFormat="1" ht="27" customHeight="1">
      <c r="A51" s="59"/>
      <c r="B51" s="60"/>
      <c r="C51" s="60"/>
      <c r="D51" s="79" t="s">
        <v>24</v>
      </c>
      <c r="E51" s="75">
        <v>2301400</v>
      </c>
      <c r="F51" s="53" t="s">
        <v>65</v>
      </c>
      <c r="G51" s="114">
        <v>43145</v>
      </c>
      <c r="H51" s="115">
        <v>260</v>
      </c>
      <c r="I51" s="22">
        <v>0</v>
      </c>
      <c r="J51" s="77">
        <v>0</v>
      </c>
      <c r="K51" s="35">
        <v>665</v>
      </c>
      <c r="L51" s="77">
        <v>134449.70000000001</v>
      </c>
      <c r="M51" s="35">
        <v>0</v>
      </c>
      <c r="N51" s="77">
        <v>0</v>
      </c>
      <c r="O51" s="35">
        <f t="shared" si="3"/>
        <v>665</v>
      </c>
      <c r="P51" s="77">
        <f t="shared" si="3"/>
        <v>134449.70000000001</v>
      </c>
      <c r="Q51" s="61"/>
      <c r="R51" s="61"/>
    </row>
    <row r="52" spans="1:18" s="134" customFormat="1" ht="25.5" customHeight="1">
      <c r="A52" s="131"/>
      <c r="B52" s="132"/>
      <c r="C52" s="60"/>
      <c r="D52" s="79" t="s">
        <v>24</v>
      </c>
      <c r="E52" s="75">
        <v>2301400</v>
      </c>
      <c r="F52" s="140" t="s">
        <v>55</v>
      </c>
      <c r="G52" s="114">
        <v>43082</v>
      </c>
      <c r="H52" s="115">
        <v>1583</v>
      </c>
      <c r="I52" s="22">
        <v>0</v>
      </c>
      <c r="J52" s="77">
        <v>0</v>
      </c>
      <c r="K52" s="35">
        <v>8</v>
      </c>
      <c r="L52" s="77">
        <v>2388</v>
      </c>
      <c r="M52" s="35">
        <v>0</v>
      </c>
      <c r="N52" s="77">
        <v>0</v>
      </c>
      <c r="O52" s="35">
        <f t="shared" si="1"/>
        <v>8</v>
      </c>
      <c r="P52" s="77">
        <f t="shared" si="1"/>
        <v>2388</v>
      </c>
      <c r="Q52" s="133"/>
      <c r="R52" s="133"/>
    </row>
    <row r="53" spans="1:18" s="62" customFormat="1" ht="25.5" customHeight="1">
      <c r="A53" s="59"/>
      <c r="B53" s="60"/>
      <c r="C53" s="60"/>
      <c r="D53" s="79" t="s">
        <v>24</v>
      </c>
      <c r="E53" s="75">
        <v>2301400</v>
      </c>
      <c r="F53" s="155" t="s">
        <v>55</v>
      </c>
      <c r="G53" s="114">
        <v>43164</v>
      </c>
      <c r="H53" s="115">
        <v>427</v>
      </c>
      <c r="I53" s="22">
        <v>0</v>
      </c>
      <c r="J53" s="77">
        <v>0</v>
      </c>
      <c r="K53" s="35">
        <v>34</v>
      </c>
      <c r="L53" s="77">
        <v>10149</v>
      </c>
      <c r="M53" s="35">
        <v>0</v>
      </c>
      <c r="N53" s="77">
        <v>0</v>
      </c>
      <c r="O53" s="35">
        <f t="shared" si="1"/>
        <v>34</v>
      </c>
      <c r="P53" s="77">
        <f t="shared" si="1"/>
        <v>10149</v>
      </c>
      <c r="Q53" s="61"/>
      <c r="R53" s="61"/>
    </row>
    <row r="54" spans="1:18" s="62" customFormat="1" ht="25.5" customHeight="1">
      <c r="A54" s="59"/>
      <c r="B54" s="60"/>
      <c r="C54" s="60"/>
      <c r="D54" s="79" t="s">
        <v>24</v>
      </c>
      <c r="E54" s="75">
        <v>2301400</v>
      </c>
      <c r="F54" s="150" t="s">
        <v>64</v>
      </c>
      <c r="G54" s="114">
        <v>43164</v>
      </c>
      <c r="H54" s="115">
        <v>427</v>
      </c>
      <c r="I54" s="22">
        <v>0</v>
      </c>
      <c r="J54" s="77">
        <v>0</v>
      </c>
      <c r="K54" s="35">
        <v>56</v>
      </c>
      <c r="L54" s="77">
        <v>16794.400000000001</v>
      </c>
      <c r="M54" s="35">
        <v>0</v>
      </c>
      <c r="N54" s="77">
        <v>0</v>
      </c>
      <c r="O54" s="35">
        <f t="shared" si="1"/>
        <v>56</v>
      </c>
      <c r="P54" s="77">
        <f t="shared" si="1"/>
        <v>16794.400000000001</v>
      </c>
      <c r="Q54" s="61"/>
      <c r="R54" s="61"/>
    </row>
    <row r="55" spans="1:18" s="62" customFormat="1" ht="27.75" customHeight="1">
      <c r="A55" s="59"/>
      <c r="B55" s="60"/>
      <c r="C55" s="60"/>
      <c r="D55" s="79" t="s">
        <v>24</v>
      </c>
      <c r="E55" s="75">
        <v>2301400</v>
      </c>
      <c r="F55" s="51" t="s">
        <v>57</v>
      </c>
      <c r="G55" s="114">
        <v>43096</v>
      </c>
      <c r="H55" s="115">
        <v>1745</v>
      </c>
      <c r="I55" s="22">
        <v>0</v>
      </c>
      <c r="J55" s="77">
        <v>0</v>
      </c>
      <c r="K55" s="35">
        <v>6637</v>
      </c>
      <c r="L55" s="77">
        <v>102541.65</v>
      </c>
      <c r="M55" s="35">
        <v>0</v>
      </c>
      <c r="N55" s="77">
        <v>0</v>
      </c>
      <c r="O55" s="35">
        <f t="shared" si="1"/>
        <v>6637</v>
      </c>
      <c r="P55" s="77">
        <f t="shared" si="1"/>
        <v>102541.65</v>
      </c>
      <c r="Q55" s="61"/>
      <c r="R55" s="61"/>
    </row>
    <row r="56" spans="1:18" s="62" customFormat="1" ht="26.25" customHeight="1">
      <c r="A56" s="59"/>
      <c r="B56" s="60"/>
      <c r="C56" s="60"/>
      <c r="D56" s="79" t="s">
        <v>24</v>
      </c>
      <c r="E56" s="75">
        <v>2301400</v>
      </c>
      <c r="F56" s="51" t="s">
        <v>58</v>
      </c>
      <c r="G56" s="114">
        <v>43096</v>
      </c>
      <c r="H56" s="115">
        <v>1745</v>
      </c>
      <c r="I56" s="22">
        <v>0</v>
      </c>
      <c r="J56" s="77">
        <v>0</v>
      </c>
      <c r="K56" s="35">
        <v>4</v>
      </c>
      <c r="L56" s="77">
        <v>9062.24</v>
      </c>
      <c r="M56" s="35">
        <v>0</v>
      </c>
      <c r="N56" s="77">
        <v>0</v>
      </c>
      <c r="O56" s="35">
        <f t="shared" si="1"/>
        <v>4</v>
      </c>
      <c r="P56" s="77">
        <f t="shared" si="1"/>
        <v>9062.24</v>
      </c>
      <c r="Q56" s="61"/>
      <c r="R56" s="61"/>
    </row>
    <row r="57" spans="1:18" s="62" customFormat="1" ht="26.25" customHeight="1">
      <c r="A57" s="59"/>
      <c r="B57" s="60"/>
      <c r="C57" s="60"/>
      <c r="D57" s="79" t="s">
        <v>24</v>
      </c>
      <c r="E57" s="75">
        <v>2301400</v>
      </c>
      <c r="F57" s="53" t="s">
        <v>65</v>
      </c>
      <c r="G57" s="114">
        <v>43116</v>
      </c>
      <c r="H57" s="115">
        <v>68</v>
      </c>
      <c r="I57" s="22">
        <v>0</v>
      </c>
      <c r="J57" s="77">
        <v>0</v>
      </c>
      <c r="K57" s="35">
        <v>335</v>
      </c>
      <c r="L57" s="77">
        <v>67730.3</v>
      </c>
      <c r="M57" s="35">
        <v>0</v>
      </c>
      <c r="N57" s="77">
        <v>0</v>
      </c>
      <c r="O57" s="35">
        <f t="shared" si="1"/>
        <v>335</v>
      </c>
      <c r="P57" s="77">
        <f t="shared" si="1"/>
        <v>67730.3</v>
      </c>
      <c r="Q57" s="61"/>
      <c r="R57" s="61"/>
    </row>
    <row r="58" spans="1:18" s="62" customFormat="1" ht="26.25" customHeight="1">
      <c r="A58" s="59"/>
      <c r="B58" s="60"/>
      <c r="C58" s="60"/>
      <c r="D58" s="79" t="s">
        <v>24</v>
      </c>
      <c r="E58" s="75">
        <v>2301400</v>
      </c>
      <c r="F58" s="53" t="s">
        <v>65</v>
      </c>
      <c r="G58" s="114">
        <v>42761</v>
      </c>
      <c r="H58" s="115">
        <v>135</v>
      </c>
      <c r="I58" s="22">
        <v>0</v>
      </c>
      <c r="J58" s="77">
        <v>0</v>
      </c>
      <c r="K58" s="35">
        <v>155</v>
      </c>
      <c r="L58" s="77">
        <v>31337.9</v>
      </c>
      <c r="M58" s="35">
        <v>0</v>
      </c>
      <c r="N58" s="77">
        <v>0</v>
      </c>
      <c r="O58" s="35">
        <f t="shared" si="1"/>
        <v>155</v>
      </c>
      <c r="P58" s="77">
        <f t="shared" si="1"/>
        <v>31337.9</v>
      </c>
      <c r="Q58" s="61"/>
      <c r="R58" s="61"/>
    </row>
    <row r="59" spans="1:18" s="62" customFormat="1" ht="26.25" customHeight="1">
      <c r="A59" s="59"/>
      <c r="B59" s="60"/>
      <c r="C59" s="60"/>
      <c r="D59" s="79" t="s">
        <v>24</v>
      </c>
      <c r="E59" s="75">
        <v>2301400</v>
      </c>
      <c r="F59" s="53" t="s">
        <v>65</v>
      </c>
      <c r="G59" s="114">
        <v>43119</v>
      </c>
      <c r="H59" s="115">
        <v>108</v>
      </c>
      <c r="I59" s="22">
        <v>0</v>
      </c>
      <c r="J59" s="77">
        <v>0</v>
      </c>
      <c r="K59" s="35">
        <v>340</v>
      </c>
      <c r="L59" s="77">
        <v>68741.2</v>
      </c>
      <c r="M59" s="35">
        <v>0</v>
      </c>
      <c r="N59" s="77">
        <v>0</v>
      </c>
      <c r="O59" s="35">
        <f t="shared" si="1"/>
        <v>340</v>
      </c>
      <c r="P59" s="77">
        <f t="shared" si="1"/>
        <v>68741.2</v>
      </c>
      <c r="Q59" s="61"/>
      <c r="R59" s="61"/>
    </row>
    <row r="60" spans="1:18" s="62" customFormat="1" ht="26.25" customHeight="1">
      <c r="A60" s="59"/>
      <c r="B60" s="60"/>
      <c r="C60" s="60"/>
      <c r="D60" s="79" t="s">
        <v>24</v>
      </c>
      <c r="E60" s="75">
        <v>2301400</v>
      </c>
      <c r="F60" s="51" t="s">
        <v>61</v>
      </c>
      <c r="G60" s="114">
        <v>42761</v>
      </c>
      <c r="H60" s="115">
        <v>135</v>
      </c>
      <c r="I60" s="22">
        <v>0</v>
      </c>
      <c r="J60" s="77">
        <v>0</v>
      </c>
      <c r="K60" s="35">
        <v>14</v>
      </c>
      <c r="L60" s="77">
        <v>774.48</v>
      </c>
      <c r="M60" s="35">
        <v>0</v>
      </c>
      <c r="N60" s="77">
        <v>0</v>
      </c>
      <c r="O60" s="35">
        <f t="shared" si="1"/>
        <v>14</v>
      </c>
      <c r="P60" s="77">
        <f t="shared" si="1"/>
        <v>774.48</v>
      </c>
      <c r="Q60" s="61"/>
      <c r="R60" s="61"/>
    </row>
    <row r="61" spans="1:18" s="62" customFormat="1" ht="26.25" customHeight="1">
      <c r="A61" s="59"/>
      <c r="B61" s="60"/>
      <c r="C61" s="60"/>
      <c r="D61" s="79" t="s">
        <v>24</v>
      </c>
      <c r="E61" s="75">
        <v>2301400</v>
      </c>
      <c r="F61" s="51" t="s">
        <v>62</v>
      </c>
      <c r="G61" s="114">
        <v>42761</v>
      </c>
      <c r="H61" s="115">
        <v>135</v>
      </c>
      <c r="I61" s="22">
        <v>0</v>
      </c>
      <c r="J61" s="77">
        <v>0</v>
      </c>
      <c r="K61" s="35">
        <v>6</v>
      </c>
      <c r="L61" s="77">
        <v>4549.08</v>
      </c>
      <c r="M61" s="35">
        <v>0</v>
      </c>
      <c r="N61" s="77">
        <v>0</v>
      </c>
      <c r="O61" s="35">
        <f t="shared" si="1"/>
        <v>6</v>
      </c>
      <c r="P61" s="77">
        <f t="shared" si="1"/>
        <v>4549.08</v>
      </c>
      <c r="Q61" s="61"/>
      <c r="R61" s="61"/>
    </row>
    <row r="62" spans="1:18" s="62" customFormat="1" ht="26.25" customHeight="1">
      <c r="A62" s="59"/>
      <c r="B62" s="60"/>
      <c r="C62" s="60"/>
      <c r="D62" s="79" t="s">
        <v>24</v>
      </c>
      <c r="E62" s="75">
        <v>2301400</v>
      </c>
      <c r="F62" s="51" t="s">
        <v>66</v>
      </c>
      <c r="G62" s="114">
        <v>43145</v>
      </c>
      <c r="H62" s="115">
        <v>260</v>
      </c>
      <c r="I62" s="22">
        <v>0</v>
      </c>
      <c r="J62" s="77">
        <v>0</v>
      </c>
      <c r="K62" s="35">
        <v>2</v>
      </c>
      <c r="L62" s="77">
        <v>4040.8</v>
      </c>
      <c r="M62" s="35">
        <v>0</v>
      </c>
      <c r="N62" s="77">
        <v>0</v>
      </c>
      <c r="O62" s="35">
        <f t="shared" si="1"/>
        <v>2</v>
      </c>
      <c r="P62" s="77">
        <f t="shared" si="1"/>
        <v>4040.8</v>
      </c>
      <c r="Q62" s="61"/>
      <c r="R62" s="61"/>
    </row>
    <row r="63" spans="1:18" s="10" customFormat="1" ht="21" customHeight="1">
      <c r="A63" s="20" t="s">
        <v>11</v>
      </c>
      <c r="B63" s="20"/>
      <c r="C63" s="20"/>
      <c r="D63" s="695" t="s">
        <v>34</v>
      </c>
      <c r="E63" s="696"/>
      <c r="F63" s="696"/>
      <c r="G63" s="696"/>
      <c r="H63" s="697"/>
      <c r="I63" s="48">
        <f>SUM(I19:I39)</f>
        <v>1342</v>
      </c>
      <c r="J63" s="49">
        <f>SUM(J19:J52)</f>
        <v>493758.06</v>
      </c>
      <c r="K63" s="48">
        <f>SUM(K25:K62)</f>
        <v>9876</v>
      </c>
      <c r="L63" s="64">
        <f>SUM(L19:L62)</f>
        <v>780090.35</v>
      </c>
      <c r="M63" s="48">
        <f>SUM(M19:M62)</f>
        <v>140</v>
      </c>
      <c r="N63" s="49">
        <f>SUM(N19:N62)</f>
        <v>72871.149999999994</v>
      </c>
      <c r="O63" s="48">
        <f>SUM(O19:O62)</f>
        <v>11078</v>
      </c>
      <c r="P63" s="49">
        <f>SUM(P19:P62)</f>
        <v>1200977.26</v>
      </c>
      <c r="Q63" s="26">
        <f>SUM(Q19:Q23)</f>
        <v>0</v>
      </c>
      <c r="R63" s="27"/>
    </row>
    <row r="64" spans="1:18">
      <c r="A64" s="19"/>
      <c r="B64" s="19"/>
      <c r="C64" s="19"/>
      <c r="I64" s="10"/>
      <c r="J64" s="10"/>
      <c r="K64" s="10"/>
      <c r="L64" s="10"/>
      <c r="M64" s="10"/>
      <c r="N64" s="10"/>
      <c r="O64" s="10"/>
      <c r="P64" s="10"/>
      <c r="Q64" s="10"/>
    </row>
    <row r="65" spans="1:16" ht="15.75">
      <c r="A65" s="28"/>
      <c r="B65" s="28"/>
      <c r="C65" s="28"/>
      <c r="D65" s="28"/>
      <c r="E65" s="28"/>
      <c r="F65" s="28"/>
      <c r="G65" s="108"/>
      <c r="H65" s="28"/>
      <c r="I65" s="11"/>
      <c r="J65" s="9"/>
      <c r="K65" s="11"/>
      <c r="L65" s="9"/>
      <c r="M65" s="9"/>
      <c r="N65" s="47"/>
      <c r="O65" s="47"/>
      <c r="P65" s="91"/>
    </row>
    <row r="66" spans="1:16" ht="18.75">
      <c r="A66" s="28"/>
      <c r="B66" s="28"/>
      <c r="C66" s="28"/>
      <c r="D66" s="28"/>
      <c r="E66" s="693" t="s">
        <v>25</v>
      </c>
      <c r="F66" s="693"/>
      <c r="G66" s="693"/>
      <c r="H66" s="693"/>
      <c r="I66" s="693"/>
      <c r="J66" s="693"/>
      <c r="K66" s="693"/>
      <c r="L66" s="693"/>
      <c r="M66" s="693"/>
      <c r="N66" s="693"/>
      <c r="O66" s="47"/>
      <c r="P66" s="12"/>
    </row>
    <row r="67" spans="1:16" ht="15" customHeight="1">
      <c r="A67" s="43"/>
      <c r="B67" s="43"/>
      <c r="C67" s="43"/>
      <c r="D67" s="43"/>
      <c r="E67" s="145"/>
      <c r="F67" s="148"/>
      <c r="G67" s="109"/>
      <c r="H67" s="32"/>
      <c r="I67" s="38"/>
      <c r="J67" s="32"/>
      <c r="K67" s="38"/>
      <c r="L67" s="32"/>
      <c r="M67" s="32"/>
      <c r="N67" s="39"/>
      <c r="O67" s="47"/>
      <c r="P67" s="12"/>
    </row>
    <row r="68" spans="1:16" ht="18" customHeight="1">
      <c r="A68" s="44" t="s">
        <v>12</v>
      </c>
      <c r="B68" s="44"/>
      <c r="C68" s="44"/>
      <c r="D68" s="44"/>
      <c r="E68" s="34"/>
      <c r="F68" s="40"/>
      <c r="G68" s="110"/>
      <c r="H68" s="40"/>
      <c r="I68" s="40"/>
      <c r="J68" s="40"/>
      <c r="K68" s="40"/>
      <c r="L68" s="40"/>
      <c r="M68" s="40"/>
      <c r="N68" s="40"/>
      <c r="O68" s="45"/>
      <c r="P68" s="13"/>
    </row>
    <row r="69" spans="1:16" ht="18.75">
      <c r="A69" s="9"/>
      <c r="B69" s="9"/>
      <c r="C69" s="9"/>
      <c r="D69" s="9"/>
      <c r="E69" s="694" t="s">
        <v>20</v>
      </c>
      <c r="F69" s="694"/>
      <c r="G69" s="694"/>
      <c r="H69" s="694"/>
      <c r="I69" s="694"/>
      <c r="J69" s="694"/>
      <c r="K69" s="694"/>
      <c r="L69" s="694"/>
      <c r="M69" s="694"/>
      <c r="N69" s="694"/>
      <c r="O69" s="9"/>
      <c r="P69" s="13"/>
    </row>
    <row r="70" spans="1:16" ht="15.75">
      <c r="A70" s="44"/>
      <c r="B70" s="44"/>
      <c r="C70" s="44"/>
      <c r="D70" s="44"/>
      <c r="E70" s="46" t="s">
        <v>26</v>
      </c>
      <c r="F70" s="44"/>
      <c r="G70" s="111"/>
      <c r="H70" s="45"/>
      <c r="I70" s="45"/>
      <c r="J70" s="45"/>
      <c r="K70" s="45"/>
      <c r="L70" s="45"/>
      <c r="M70" s="45"/>
      <c r="N70" s="45"/>
      <c r="O70" s="45"/>
    </row>
    <row r="71" spans="1:16" ht="36" customHeight="1">
      <c r="A71" s="9"/>
      <c r="B71" s="9"/>
      <c r="C71" s="9"/>
      <c r="D71" s="676" t="s">
        <v>38</v>
      </c>
      <c r="E71" s="676"/>
      <c r="F71" s="676"/>
      <c r="G71" s="112"/>
      <c r="H71" s="9"/>
      <c r="I71" s="11"/>
      <c r="J71" s="9"/>
      <c r="K71" s="11"/>
      <c r="L71" s="9"/>
      <c r="M71" s="9"/>
      <c r="N71" s="9"/>
      <c r="O71" s="9"/>
    </row>
  </sheetData>
  <mergeCells count="16">
    <mergeCell ref="D71:F71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63:H63"/>
    <mergeCell ref="E66:N66"/>
    <mergeCell ref="E69:N69"/>
  </mergeCells>
  <pageMargins left="0.31496062992125984" right="0.31496062992125984" top="0.11811023622047245" bottom="0.41" header="0.23622047244094491" footer="0.52"/>
  <pageSetup paperSize="9" scale="66" fitToHeight="2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1"/>
  <sheetViews>
    <sheetView view="pageBreakPreview" topLeftCell="C7" zoomScale="70" zoomScaleSheetLayoutView="70" workbookViewId="0">
      <selection activeCell="AT18" sqref="AT18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74"/>
      <c r="AR1" s="255"/>
      <c r="AS1" s="255"/>
      <c r="AT1" s="574"/>
      <c r="AU1" s="574"/>
      <c r="AV1" s="57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7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7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319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74"/>
      <c r="AR12" s="255"/>
      <c r="AS12" s="255"/>
      <c r="AT12" s="575"/>
      <c r="AU12" s="575"/>
      <c r="AV12" s="57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318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75"/>
      <c r="D16" s="748"/>
      <c r="E16" s="685"/>
      <c r="F16" s="685"/>
      <c r="G16" s="202"/>
      <c r="H16" s="201"/>
      <c r="I16" s="201"/>
      <c r="J16" s="241"/>
      <c r="K16" s="241"/>
      <c r="L16" s="241"/>
      <c r="M16" s="573" t="s">
        <v>77</v>
      </c>
      <c r="N16" s="573" t="s">
        <v>78</v>
      </c>
      <c r="O16" s="573" t="s">
        <v>77</v>
      </c>
      <c r="P16" s="573" t="s">
        <v>78</v>
      </c>
      <c r="Q16" s="573" t="s">
        <v>77</v>
      </c>
      <c r="R16" s="573" t="s">
        <v>78</v>
      </c>
      <c r="S16" s="573" t="s">
        <v>77</v>
      </c>
      <c r="T16" s="57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72" t="s">
        <v>77</v>
      </c>
      <c r="AE16" s="572" t="s">
        <v>78</v>
      </c>
      <c r="AF16" s="205" t="s">
        <v>77</v>
      </c>
      <c r="AG16" s="205" t="s">
        <v>78</v>
      </c>
      <c r="AH16" s="572" t="s">
        <v>77</v>
      </c>
      <c r="AI16" s="572" t="s">
        <v>78</v>
      </c>
      <c r="AJ16" s="207" t="s">
        <v>96</v>
      </c>
      <c r="AK16" s="96" t="s">
        <v>19</v>
      </c>
      <c r="AL16" s="570" t="s">
        <v>96</v>
      </c>
      <c r="AM16" s="570" t="s">
        <v>19</v>
      </c>
      <c r="AN16" s="216" t="s">
        <v>96</v>
      </c>
      <c r="AO16" s="216" t="s">
        <v>19</v>
      </c>
      <c r="AP16" s="207" t="s">
        <v>96</v>
      </c>
      <c r="AQ16" s="570" t="s">
        <v>96</v>
      </c>
      <c r="AR16" s="570" t="s">
        <v>107</v>
      </c>
      <c r="AS16" s="570" t="s">
        <v>19</v>
      </c>
      <c r="AT16" s="571" t="s">
        <v>96</v>
      </c>
      <c r="AU16" s="571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7" si="0">J18*K18</f>
        <v>0</v>
      </c>
      <c r="N18" s="243">
        <f t="shared" ref="N18:N77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7" si="2">AC18+AK18-AM18</f>
        <v>1026.1600000000001</v>
      </c>
      <c r="AP18" s="232"/>
      <c r="AQ18" s="229"/>
      <c r="AR18" s="212">
        <v>1026.1600000000001</v>
      </c>
      <c r="AS18" s="212">
        <f t="shared" ref="AS18:AS91" si="3">AQ18*AR18</f>
        <v>0</v>
      </c>
      <c r="AT18" s="247">
        <v>1</v>
      </c>
      <c r="AU18" s="228">
        <f t="shared" ref="AU18:AU91" si="4">AT18*AR18</f>
        <v>1026.1600000000001</v>
      </c>
      <c r="AV18" s="247">
        <f t="shared" ref="AV18:AV91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1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40</v>
      </c>
      <c r="AU31" s="228"/>
      <c r="AV31" s="279">
        <f t="shared" si="5"/>
        <v>40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39</v>
      </c>
      <c r="AU36" s="228"/>
      <c r="AV36" s="279">
        <f t="shared" si="5"/>
        <v>39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49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hidden="1" customHeight="1">
      <c r="A50" s="59"/>
      <c r="B50" s="60"/>
      <c r="C50" s="60"/>
      <c r="D50" s="22"/>
      <c r="E50" s="79"/>
      <c r="F50" s="51" t="s">
        <v>44</v>
      </c>
      <c r="G50" s="275" t="s">
        <v>116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/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3"/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v>0</v>
      </c>
      <c r="AU50" s="386"/>
      <c r="AV50" s="233">
        <v>0</v>
      </c>
    </row>
    <row r="51" spans="1:49" s="62" customFormat="1" ht="27" hidden="1" customHeight="1">
      <c r="A51" s="59"/>
      <c r="B51" s="60"/>
      <c r="C51" s="60"/>
      <c r="D51" s="22"/>
      <c r="E51" s="79" t="s">
        <v>24</v>
      </c>
      <c r="F51" s="51" t="s">
        <v>52</v>
      </c>
      <c r="G51" s="275" t="s">
        <v>111</v>
      </c>
      <c r="H51" s="115" t="s">
        <v>91</v>
      </c>
      <c r="I51" s="115" t="s">
        <v>91</v>
      </c>
      <c r="J51" s="115"/>
      <c r="K51" s="115"/>
      <c r="L51" s="276"/>
      <c r="M51" s="277">
        <f t="shared" si="0"/>
        <v>0</v>
      </c>
      <c r="N51" s="276">
        <f t="shared" si="1"/>
        <v>0</v>
      </c>
      <c r="O51" s="115"/>
      <c r="P51" s="276"/>
      <c r="Q51" s="115"/>
      <c r="R51" s="276"/>
      <c r="S51" s="115"/>
      <c r="T51" s="276"/>
      <c r="U51" s="278" t="s">
        <v>112</v>
      </c>
      <c r="V51" s="115">
        <v>1625</v>
      </c>
      <c r="W51" s="114">
        <v>43087</v>
      </c>
      <c r="X51" s="115" t="s">
        <v>109</v>
      </c>
      <c r="Y51" s="221">
        <v>43109</v>
      </c>
      <c r="Z51" s="115" t="s">
        <v>110</v>
      </c>
      <c r="AA51" s="221">
        <v>43111</v>
      </c>
      <c r="AB51" s="22">
        <v>0</v>
      </c>
      <c r="AC51" s="170">
        <v>0</v>
      </c>
      <c r="AD51" s="208">
        <v>5</v>
      </c>
      <c r="AE51" s="170">
        <v>1010.9</v>
      </c>
      <c r="AF51" s="208"/>
      <c r="AG51" s="170"/>
      <c r="AH51" s="208"/>
      <c r="AI51" s="170"/>
      <c r="AJ51" s="232"/>
      <c r="AK51" s="170">
        <f t="shared" si="6"/>
        <v>1010.9</v>
      </c>
      <c r="AL51" s="270">
        <v>5</v>
      </c>
      <c r="AM51" s="170">
        <v>1010.9</v>
      </c>
      <c r="AN51" s="270">
        <v>0</v>
      </c>
      <c r="AO51" s="170">
        <f t="shared" si="2"/>
        <v>0</v>
      </c>
      <c r="AP51" s="233"/>
      <c r="AQ51" s="233"/>
      <c r="AR51" s="170"/>
      <c r="AS51" s="170">
        <f t="shared" si="3"/>
        <v>0</v>
      </c>
      <c r="AT51" s="208">
        <v>0</v>
      </c>
      <c r="AU51" s="170">
        <f t="shared" si="4"/>
        <v>0</v>
      </c>
      <c r="AV51" s="233">
        <f t="shared" si="5"/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>
        <v>2016</v>
      </c>
      <c r="K52" s="115">
        <v>2</v>
      </c>
      <c r="L52" s="276">
        <v>199.06</v>
      </c>
      <c r="M52" s="277">
        <f t="shared" si="0"/>
        <v>4032</v>
      </c>
      <c r="N52" s="276">
        <f t="shared" si="1"/>
        <v>802609.92</v>
      </c>
      <c r="O52" s="115">
        <v>4130</v>
      </c>
      <c r="P52" s="276">
        <v>1054554.2</v>
      </c>
      <c r="Q52" s="115"/>
      <c r="R52" s="276"/>
      <c r="S52" s="115"/>
      <c r="T52" s="276"/>
      <c r="U52" s="278" t="s">
        <v>112</v>
      </c>
      <c r="V52" s="115">
        <v>1583</v>
      </c>
      <c r="W52" s="114">
        <v>43082</v>
      </c>
      <c r="X52" s="115" t="s">
        <v>113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490</v>
      </c>
      <c r="AE52" s="170">
        <v>99068.2</v>
      </c>
      <c r="AF52" s="208"/>
      <c r="AG52" s="170"/>
      <c r="AH52" s="208"/>
      <c r="AI52" s="170"/>
      <c r="AJ52" s="232"/>
      <c r="AK52" s="170">
        <f t="shared" si="6"/>
        <v>99068.2</v>
      </c>
      <c r="AL52" s="270">
        <f>135+130+130</f>
        <v>395</v>
      </c>
      <c r="AM52" s="170">
        <f>AL52*AR52</f>
        <v>79861.100000000006</v>
      </c>
      <c r="AN52" s="270">
        <v>95</v>
      </c>
      <c r="AO52" s="170">
        <f t="shared" si="2"/>
        <v>19207.099999999991</v>
      </c>
      <c r="AP52" s="233"/>
      <c r="AQ52" s="233"/>
      <c r="AR52" s="170">
        <v>202.18</v>
      </c>
      <c r="AS52" s="170">
        <f t="shared" si="3"/>
        <v>0</v>
      </c>
      <c r="AT52" s="233">
        <v>0</v>
      </c>
      <c r="AU52" s="386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/>
      <c r="K53" s="115"/>
      <c r="L53" s="276"/>
      <c r="M53" s="277">
        <f t="shared" si="0"/>
        <v>0</v>
      </c>
      <c r="N53" s="276">
        <f t="shared" si="1"/>
        <v>0</v>
      </c>
      <c r="O53" s="115"/>
      <c r="P53" s="276"/>
      <c r="Q53" s="115"/>
      <c r="R53" s="276"/>
      <c r="S53" s="115"/>
      <c r="T53" s="276"/>
      <c r="U53" s="278" t="s">
        <v>112</v>
      </c>
      <c r="V53" s="115">
        <v>1745</v>
      </c>
      <c r="W53" s="114">
        <v>43096</v>
      </c>
      <c r="X53" s="115" t="s">
        <v>117</v>
      </c>
      <c r="Y53" s="221">
        <v>43109</v>
      </c>
      <c r="Z53" s="115" t="s">
        <v>118</v>
      </c>
      <c r="AA53" s="221">
        <v>43133</v>
      </c>
      <c r="AB53" s="22">
        <v>0</v>
      </c>
      <c r="AC53" s="170">
        <v>0</v>
      </c>
      <c r="AD53" s="208">
        <v>195</v>
      </c>
      <c r="AE53" s="170">
        <v>39425.1</v>
      </c>
      <c r="AF53" s="208"/>
      <c r="AG53" s="170"/>
      <c r="AH53" s="208"/>
      <c r="AI53" s="170"/>
      <c r="AJ53" s="232"/>
      <c r="AK53" s="170">
        <f t="shared" si="6"/>
        <v>39425.1</v>
      </c>
      <c r="AL53" s="270">
        <v>0</v>
      </c>
      <c r="AM53" s="170">
        <v>0</v>
      </c>
      <c r="AN53" s="270">
        <v>195</v>
      </c>
      <c r="AO53" s="170">
        <f t="shared" si="2"/>
        <v>39425.1</v>
      </c>
      <c r="AP53" s="233"/>
      <c r="AQ53" s="233"/>
      <c r="AR53" s="170">
        <v>202.18</v>
      </c>
      <c r="AS53" s="170">
        <f t="shared" si="3"/>
        <v>0</v>
      </c>
      <c r="AT53" s="233">
        <f>160-140-20</f>
        <v>0</v>
      </c>
      <c r="AU53" s="386">
        <f t="shared" si="4"/>
        <v>0</v>
      </c>
      <c r="AV53" s="233">
        <f t="shared" si="5"/>
        <v>0</v>
      </c>
    </row>
    <row r="54" spans="1:49" s="62" customFormat="1" ht="26.25" customHeight="1">
      <c r="A54" s="59"/>
      <c r="B54" s="60"/>
      <c r="C54" s="137"/>
      <c r="D54" s="192"/>
      <c r="E54" s="79" t="s">
        <v>24</v>
      </c>
      <c r="F54" s="525" t="s">
        <v>65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527" t="s">
        <v>133</v>
      </c>
      <c r="V54" s="193">
        <v>234</v>
      </c>
      <c r="W54" s="532">
        <v>43143</v>
      </c>
      <c r="X54" s="193" t="s">
        <v>143</v>
      </c>
      <c r="Y54" s="200">
        <v>43164</v>
      </c>
      <c r="Z54" s="193"/>
      <c r="AA54" s="193"/>
      <c r="AB54" s="192">
        <v>0</v>
      </c>
      <c r="AC54" s="530">
        <v>0</v>
      </c>
      <c r="AD54" s="531">
        <v>320</v>
      </c>
      <c r="AE54" s="530">
        <v>64697.599999999999</v>
      </c>
      <c r="AF54" s="531"/>
      <c r="AG54" s="530"/>
      <c r="AH54" s="531"/>
      <c r="AI54" s="530"/>
      <c r="AJ54" s="247"/>
      <c r="AK54" s="170">
        <f t="shared" si="6"/>
        <v>64697.599999999999</v>
      </c>
      <c r="AL54" s="272">
        <v>0</v>
      </c>
      <c r="AM54" s="212">
        <v>0</v>
      </c>
      <c r="AN54" s="269">
        <v>320</v>
      </c>
      <c r="AO54" s="217">
        <f t="shared" si="2"/>
        <v>64697.599999999999</v>
      </c>
      <c r="AP54" s="232"/>
      <c r="AQ54" s="229"/>
      <c r="AR54" s="212">
        <v>202.18</v>
      </c>
      <c r="AS54" s="212">
        <f t="shared" si="3"/>
        <v>0</v>
      </c>
      <c r="AT54" s="247">
        <v>255</v>
      </c>
      <c r="AU54" s="249">
        <f t="shared" si="4"/>
        <v>51555.9</v>
      </c>
      <c r="AV54" s="247">
        <f t="shared" si="5"/>
        <v>255</v>
      </c>
    </row>
    <row r="55" spans="1:49" s="62" customFormat="1" ht="26.25" hidden="1" customHeight="1">
      <c r="A55" s="59"/>
      <c r="B55" s="60"/>
      <c r="C55" s="60"/>
      <c r="D55" s="22"/>
      <c r="E55" s="79" t="s">
        <v>24</v>
      </c>
      <c r="F55" s="51" t="s">
        <v>65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132</v>
      </c>
      <c r="V55" s="115">
        <v>234</v>
      </c>
      <c r="W55" s="114">
        <v>43143</v>
      </c>
      <c r="X55" s="115" t="s">
        <v>143</v>
      </c>
      <c r="Y55" s="221">
        <v>43164</v>
      </c>
      <c r="Z55" s="115"/>
      <c r="AA55" s="115"/>
      <c r="AB55" s="22">
        <v>0</v>
      </c>
      <c r="AC55" s="170">
        <v>0</v>
      </c>
      <c r="AD55" s="208">
        <v>15</v>
      </c>
      <c r="AE55" s="170">
        <v>3032.7</v>
      </c>
      <c r="AF55" s="208"/>
      <c r="AG55" s="170"/>
      <c r="AH55" s="208"/>
      <c r="AI55" s="170"/>
      <c r="AJ55" s="233"/>
      <c r="AK55" s="170">
        <f t="shared" si="6"/>
        <v>3032.7</v>
      </c>
      <c r="AL55" s="270">
        <v>0</v>
      </c>
      <c r="AM55" s="170">
        <v>0</v>
      </c>
      <c r="AN55" s="270">
        <v>15</v>
      </c>
      <c r="AO55" s="170">
        <f t="shared" si="2"/>
        <v>3032.7</v>
      </c>
      <c r="AP55" s="233"/>
      <c r="AQ55" s="233"/>
      <c r="AR55" s="170">
        <v>202.18</v>
      </c>
      <c r="AS55" s="170">
        <f t="shared" si="3"/>
        <v>0</v>
      </c>
      <c r="AT55" s="233">
        <v>0</v>
      </c>
      <c r="AU55" s="386">
        <f t="shared" si="4"/>
        <v>0</v>
      </c>
      <c r="AV55" s="233">
        <v>0</v>
      </c>
      <c r="AW55" s="517" t="s">
        <v>287</v>
      </c>
    </row>
    <row r="56" spans="1:49" s="62" customFormat="1" ht="27" customHeight="1">
      <c r="A56" s="59"/>
      <c r="B56" s="60"/>
      <c r="C56" s="137"/>
      <c r="D56" s="192"/>
      <c r="E56" s="79" t="s">
        <v>24</v>
      </c>
      <c r="F56" s="525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527" t="s">
        <v>133</v>
      </c>
      <c r="V56" s="193">
        <v>356</v>
      </c>
      <c r="W56" s="532">
        <v>43159</v>
      </c>
      <c r="X56" s="193" t="s">
        <v>136</v>
      </c>
      <c r="Y56" s="200">
        <v>43164</v>
      </c>
      <c r="Z56" s="193"/>
      <c r="AA56" s="193"/>
      <c r="AB56" s="192">
        <v>0</v>
      </c>
      <c r="AC56" s="530">
        <v>0</v>
      </c>
      <c r="AD56" s="531">
        <v>170</v>
      </c>
      <c r="AE56" s="530">
        <v>34370.6</v>
      </c>
      <c r="AF56" s="531"/>
      <c r="AG56" s="530"/>
      <c r="AH56" s="531"/>
      <c r="AI56" s="530"/>
      <c r="AJ56" s="247"/>
      <c r="AK56" s="170">
        <f t="shared" si="6"/>
        <v>34370.6</v>
      </c>
      <c r="AL56" s="272">
        <v>0</v>
      </c>
      <c r="AM56" s="212">
        <v>0</v>
      </c>
      <c r="AN56" s="269">
        <v>170</v>
      </c>
      <c r="AO56" s="217">
        <f t="shared" si="2"/>
        <v>34370.6</v>
      </c>
      <c r="AP56" s="232"/>
      <c r="AQ56" s="229"/>
      <c r="AR56" s="212">
        <v>202.18</v>
      </c>
      <c r="AS56" s="212">
        <f t="shared" si="3"/>
        <v>0</v>
      </c>
      <c r="AT56" s="247">
        <v>170</v>
      </c>
      <c r="AU56" s="228">
        <f t="shared" si="4"/>
        <v>34370.6</v>
      </c>
      <c r="AV56" s="247">
        <f t="shared" si="5"/>
        <v>170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260</v>
      </c>
      <c r="W57" s="532">
        <v>43145</v>
      </c>
      <c r="X57" s="193" t="s">
        <v>94</v>
      </c>
      <c r="Y57" s="200">
        <v>43164</v>
      </c>
      <c r="Z57" s="193"/>
      <c r="AA57" s="193"/>
      <c r="AB57" s="192">
        <v>0</v>
      </c>
      <c r="AC57" s="530">
        <v>0</v>
      </c>
      <c r="AD57" s="531">
        <v>665</v>
      </c>
      <c r="AE57" s="530">
        <v>134449.70000000001</v>
      </c>
      <c r="AF57" s="531"/>
      <c r="AG57" s="530"/>
      <c r="AH57" s="531"/>
      <c r="AI57" s="530"/>
      <c r="AJ57" s="247"/>
      <c r="AK57" s="170">
        <f t="shared" si="6"/>
        <v>134449.70000000001</v>
      </c>
      <c r="AL57" s="272">
        <v>0</v>
      </c>
      <c r="AM57" s="212">
        <v>0</v>
      </c>
      <c r="AN57" s="269">
        <v>665</v>
      </c>
      <c r="AO57" s="217">
        <f t="shared" si="2"/>
        <v>134449.70000000001</v>
      </c>
      <c r="AP57" s="232"/>
      <c r="AQ57" s="229"/>
      <c r="AR57" s="212">
        <v>202.18</v>
      </c>
      <c r="AS57" s="212">
        <f t="shared" si="3"/>
        <v>0</v>
      </c>
      <c r="AT57" s="247">
        <v>665</v>
      </c>
      <c r="AU57" s="249">
        <f t="shared" si="4"/>
        <v>134449.70000000001</v>
      </c>
      <c r="AV57" s="247">
        <f t="shared" si="5"/>
        <v>665</v>
      </c>
    </row>
    <row r="58" spans="1:49" s="62" customFormat="1" ht="26.25" hidden="1" customHeight="1">
      <c r="A58" s="59"/>
      <c r="B58" s="60"/>
      <c r="C58" s="60"/>
      <c r="D58" s="22"/>
      <c r="E58" s="79" t="s">
        <v>24</v>
      </c>
      <c r="F58" s="51" t="s">
        <v>65</v>
      </c>
      <c r="G58" s="275" t="s">
        <v>111</v>
      </c>
      <c r="H58" s="115" t="s">
        <v>91</v>
      </c>
      <c r="I58" s="115" t="s">
        <v>91</v>
      </c>
      <c r="J58" s="115"/>
      <c r="K58" s="115"/>
      <c r="L58" s="276"/>
      <c r="M58" s="277">
        <f t="shared" si="0"/>
        <v>0</v>
      </c>
      <c r="N58" s="276">
        <f t="shared" si="1"/>
        <v>0</v>
      </c>
      <c r="O58" s="115"/>
      <c r="P58" s="276"/>
      <c r="Q58" s="115"/>
      <c r="R58" s="276"/>
      <c r="S58" s="115"/>
      <c r="T58" s="276"/>
      <c r="U58" s="278" t="s">
        <v>124</v>
      </c>
      <c r="V58" s="115">
        <v>68</v>
      </c>
      <c r="W58" s="114">
        <v>43116</v>
      </c>
      <c r="X58" s="115" t="s">
        <v>125</v>
      </c>
      <c r="Y58" s="221">
        <v>43130</v>
      </c>
      <c r="Z58" s="115"/>
      <c r="AA58" s="115"/>
      <c r="AB58" s="22">
        <v>0</v>
      </c>
      <c r="AC58" s="170">
        <v>0</v>
      </c>
      <c r="AD58" s="208">
        <v>335</v>
      </c>
      <c r="AE58" s="170">
        <v>67730.3</v>
      </c>
      <c r="AF58" s="208"/>
      <c r="AG58" s="170"/>
      <c r="AH58" s="208"/>
      <c r="AI58" s="170"/>
      <c r="AJ58" s="233"/>
      <c r="AK58" s="170">
        <f t="shared" si="6"/>
        <v>67730.3</v>
      </c>
      <c r="AL58" s="270">
        <v>0</v>
      </c>
      <c r="AM58" s="170">
        <v>0</v>
      </c>
      <c r="AN58" s="270">
        <v>335</v>
      </c>
      <c r="AO58" s="170">
        <f t="shared" si="2"/>
        <v>67730.3</v>
      </c>
      <c r="AP58" s="233"/>
      <c r="AQ58" s="233"/>
      <c r="AR58" s="170">
        <v>202.18</v>
      </c>
      <c r="AS58" s="170">
        <f t="shared" si="3"/>
        <v>0</v>
      </c>
      <c r="AT58" s="233">
        <f>155-155</f>
        <v>0</v>
      </c>
      <c r="AU58" s="386">
        <f t="shared" si="4"/>
        <v>0</v>
      </c>
      <c r="AV58" s="233">
        <f t="shared" si="5"/>
        <v>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135</v>
      </c>
      <c r="W59" s="114">
        <v>42761</v>
      </c>
      <c r="X59" s="115" t="s">
        <v>126</v>
      </c>
      <c r="Y59" s="221">
        <v>43130</v>
      </c>
      <c r="Z59" s="115"/>
      <c r="AA59" s="115"/>
      <c r="AB59" s="22">
        <v>0</v>
      </c>
      <c r="AC59" s="170">
        <v>0</v>
      </c>
      <c r="AD59" s="208">
        <v>155</v>
      </c>
      <c r="AE59" s="170">
        <v>31337.9</v>
      </c>
      <c r="AF59" s="208"/>
      <c r="AG59" s="170"/>
      <c r="AH59" s="208"/>
      <c r="AI59" s="170"/>
      <c r="AJ59" s="233"/>
      <c r="AK59" s="170">
        <f t="shared" si="6"/>
        <v>31337.9</v>
      </c>
      <c r="AL59" s="270">
        <v>0</v>
      </c>
      <c r="AM59" s="170">
        <v>0</v>
      </c>
      <c r="AN59" s="270">
        <v>155</v>
      </c>
      <c r="AO59" s="170">
        <f t="shared" si="2"/>
        <v>31337.9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customHeight="1">
      <c r="A60" s="59"/>
      <c r="B60" s="60"/>
      <c r="C60" s="137"/>
      <c r="D60" s="192"/>
      <c r="E60" s="79" t="s">
        <v>24</v>
      </c>
      <c r="F60" s="525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527" t="s">
        <v>132</v>
      </c>
      <c r="V60" s="193">
        <v>108</v>
      </c>
      <c r="W60" s="532">
        <v>43119</v>
      </c>
      <c r="X60" s="193" t="s">
        <v>131</v>
      </c>
      <c r="Y60" s="200">
        <v>43130</v>
      </c>
      <c r="Z60" s="193"/>
      <c r="AA60" s="193"/>
      <c r="AB60" s="192">
        <v>0</v>
      </c>
      <c r="AC60" s="530">
        <v>0</v>
      </c>
      <c r="AD60" s="531">
        <v>340</v>
      </c>
      <c r="AE60" s="530">
        <v>68741.2</v>
      </c>
      <c r="AF60" s="531"/>
      <c r="AG60" s="530"/>
      <c r="AH60" s="531"/>
      <c r="AI60" s="530"/>
      <c r="AJ60" s="247"/>
      <c r="AK60" s="170">
        <f t="shared" si="6"/>
        <v>68741.2</v>
      </c>
      <c r="AL60" s="272">
        <v>0</v>
      </c>
      <c r="AM60" s="212">
        <v>0</v>
      </c>
      <c r="AN60" s="269">
        <v>340</v>
      </c>
      <c r="AO60" s="217">
        <f t="shared" si="2"/>
        <v>68741.2</v>
      </c>
      <c r="AP60" s="232"/>
      <c r="AQ60" s="229"/>
      <c r="AR60" s="212">
        <v>202.18</v>
      </c>
      <c r="AS60" s="212">
        <f t="shared" si="3"/>
        <v>0</v>
      </c>
      <c r="AT60" s="247">
        <v>205</v>
      </c>
      <c r="AU60" s="249">
        <f t="shared" si="4"/>
        <v>41446.9</v>
      </c>
      <c r="AV60" s="247">
        <f t="shared" si="5"/>
        <v>205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161</v>
      </c>
      <c r="V61" s="193">
        <v>659</v>
      </c>
      <c r="W61" s="532">
        <v>43201</v>
      </c>
      <c r="X61" s="193" t="s">
        <v>159</v>
      </c>
      <c r="Y61" s="200">
        <v>43213</v>
      </c>
      <c r="Z61" s="193" t="s">
        <v>160</v>
      </c>
      <c r="AA61" s="200">
        <v>43255</v>
      </c>
      <c r="AB61" s="192">
        <v>0</v>
      </c>
      <c r="AC61" s="530">
        <v>0</v>
      </c>
      <c r="AD61" s="531">
        <v>245</v>
      </c>
      <c r="AE61" s="530">
        <v>49534.1</v>
      </c>
      <c r="AF61" s="531"/>
      <c r="AG61" s="530"/>
      <c r="AH61" s="531"/>
      <c r="AI61" s="530"/>
      <c r="AJ61" s="247"/>
      <c r="AK61" s="170">
        <f t="shared" si="6"/>
        <v>49534.1</v>
      </c>
      <c r="AL61" s="272">
        <v>0</v>
      </c>
      <c r="AM61" s="212">
        <v>0</v>
      </c>
      <c r="AN61" s="269">
        <v>245</v>
      </c>
      <c r="AO61" s="217">
        <f t="shared" si="2"/>
        <v>49534.1</v>
      </c>
      <c r="AP61" s="232"/>
      <c r="AQ61" s="229"/>
      <c r="AR61" s="212">
        <v>202.18</v>
      </c>
      <c r="AS61" s="212">
        <f t="shared" si="3"/>
        <v>0</v>
      </c>
      <c r="AT61" s="247">
        <v>245</v>
      </c>
      <c r="AU61" s="228">
        <f t="shared" si="4"/>
        <v>49534.1</v>
      </c>
      <c r="AV61" s="247">
        <f t="shared" si="5"/>
        <v>245</v>
      </c>
    </row>
    <row r="62" spans="1:49" s="62" customFormat="1" ht="26.25" customHeight="1">
      <c r="A62" s="59"/>
      <c r="B62" s="60"/>
      <c r="C62" s="60"/>
      <c r="D62" s="22"/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161</v>
      </c>
      <c r="V62" s="115">
        <v>834</v>
      </c>
      <c r="W62" s="114">
        <v>43222</v>
      </c>
      <c r="X62" s="193" t="s">
        <v>162</v>
      </c>
      <c r="Y62" s="200">
        <v>43242</v>
      </c>
      <c r="Z62" s="193"/>
      <c r="AA62" s="193"/>
      <c r="AB62" s="22">
        <v>0</v>
      </c>
      <c r="AC62" s="170">
        <v>0</v>
      </c>
      <c r="AD62" s="209">
        <v>555</v>
      </c>
      <c r="AE62" s="194">
        <v>112209.9</v>
      </c>
      <c r="AF62" s="209"/>
      <c r="AG62" s="194"/>
      <c r="AH62" s="209"/>
      <c r="AI62" s="194"/>
      <c r="AJ62" s="232"/>
      <c r="AK62" s="170">
        <f t="shared" si="6"/>
        <v>112209.9</v>
      </c>
      <c r="AL62" s="272">
        <v>0</v>
      </c>
      <c r="AM62" s="212">
        <v>0</v>
      </c>
      <c r="AN62" s="269">
        <v>555</v>
      </c>
      <c r="AO62" s="217">
        <f t="shared" si="2"/>
        <v>112209.9</v>
      </c>
      <c r="AP62" s="232"/>
      <c r="AQ62" s="229"/>
      <c r="AR62" s="212">
        <v>202.18</v>
      </c>
      <c r="AS62" s="212">
        <f t="shared" si="3"/>
        <v>0</v>
      </c>
      <c r="AT62" s="227">
        <f>555-60</f>
        <v>495</v>
      </c>
      <c r="AU62" s="228">
        <f t="shared" si="4"/>
        <v>100079.1</v>
      </c>
      <c r="AV62" s="279">
        <f t="shared" si="5"/>
        <v>495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175</v>
      </c>
      <c r="V63" s="115">
        <v>1006</v>
      </c>
      <c r="W63" s="114">
        <v>43244</v>
      </c>
      <c r="X63" s="115" t="s">
        <v>179</v>
      </c>
      <c r="Y63" s="221">
        <v>43285</v>
      </c>
      <c r="Z63" s="115"/>
      <c r="AA63" s="115"/>
      <c r="AB63" s="22">
        <v>0</v>
      </c>
      <c r="AC63" s="170">
        <v>0</v>
      </c>
      <c r="AD63" s="208">
        <v>45</v>
      </c>
      <c r="AE63" s="170">
        <v>8820</v>
      </c>
      <c r="AF63" s="208"/>
      <c r="AG63" s="170"/>
      <c r="AH63" s="208"/>
      <c r="AI63" s="170"/>
      <c r="AJ63" s="233"/>
      <c r="AK63" s="170">
        <f t="shared" si="6"/>
        <v>8820</v>
      </c>
      <c r="AL63" s="270">
        <v>0</v>
      </c>
      <c r="AM63" s="170">
        <v>0</v>
      </c>
      <c r="AN63" s="270">
        <v>45</v>
      </c>
      <c r="AO63" s="170">
        <f t="shared" si="2"/>
        <v>8820</v>
      </c>
      <c r="AP63" s="233"/>
      <c r="AQ63" s="233"/>
      <c r="AR63" s="170">
        <v>196</v>
      </c>
      <c r="AS63" s="170">
        <f t="shared" si="3"/>
        <v>0</v>
      </c>
      <c r="AT63" s="233">
        <f>45-45</f>
        <v>0</v>
      </c>
      <c r="AU63" s="386">
        <f t="shared" si="4"/>
        <v>0</v>
      </c>
      <c r="AV63" s="233">
        <f t="shared" si="5"/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55</v>
      </c>
      <c r="AE64" s="170">
        <v>11119.9</v>
      </c>
      <c r="AF64" s="208"/>
      <c r="AG64" s="170"/>
      <c r="AH64" s="208"/>
      <c r="AI64" s="170"/>
      <c r="AJ64" s="233"/>
      <c r="AK64" s="170">
        <f t="shared" si="6"/>
        <v>11119.9</v>
      </c>
      <c r="AL64" s="270">
        <v>0</v>
      </c>
      <c r="AM64" s="170">
        <v>0</v>
      </c>
      <c r="AN64" s="270">
        <v>55</v>
      </c>
      <c r="AO64" s="170">
        <f t="shared" si="2"/>
        <v>11119.9</v>
      </c>
      <c r="AP64" s="233"/>
      <c r="AQ64" s="233"/>
      <c r="AR64" s="170">
        <v>202.18</v>
      </c>
      <c r="AS64" s="170">
        <f t="shared" si="3"/>
        <v>0</v>
      </c>
      <c r="AT64" s="233">
        <f>55-55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877</v>
      </c>
      <c r="W65" s="114">
        <v>43230</v>
      </c>
      <c r="X65" s="193" t="s">
        <v>174</v>
      </c>
      <c r="Y65" s="200">
        <v>43285</v>
      </c>
      <c r="Z65" s="193"/>
      <c r="AA65" s="193"/>
      <c r="AB65" s="22">
        <v>0</v>
      </c>
      <c r="AC65" s="170">
        <v>0</v>
      </c>
      <c r="AD65" s="209">
        <v>210</v>
      </c>
      <c r="AE65" s="194">
        <v>42457.8</v>
      </c>
      <c r="AF65" s="209"/>
      <c r="AG65" s="194"/>
      <c r="AH65" s="209"/>
      <c r="AI65" s="194"/>
      <c r="AJ65" s="232"/>
      <c r="AK65" s="170">
        <f t="shared" si="6"/>
        <v>42457.8</v>
      </c>
      <c r="AL65" s="272">
        <v>0</v>
      </c>
      <c r="AM65" s="212">
        <v>0</v>
      </c>
      <c r="AN65" s="269">
        <v>210</v>
      </c>
      <c r="AO65" s="217">
        <f t="shared" si="2"/>
        <v>42457.8</v>
      </c>
      <c r="AP65" s="232"/>
      <c r="AQ65" s="229"/>
      <c r="AR65" s="212">
        <v>202.18</v>
      </c>
      <c r="AS65" s="212">
        <f t="shared" si="3"/>
        <v>0</v>
      </c>
      <c r="AT65" s="227">
        <v>210</v>
      </c>
      <c r="AU65" s="228">
        <f t="shared" si="4"/>
        <v>42457.8</v>
      </c>
      <c r="AV65" s="279">
        <f t="shared" si="5"/>
        <v>210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161</v>
      </c>
      <c r="V66" s="115">
        <v>1053</v>
      </c>
      <c r="W66" s="114">
        <v>43255</v>
      </c>
      <c r="X66" s="193" t="s">
        <v>177</v>
      </c>
      <c r="Y66" s="200">
        <v>43285</v>
      </c>
      <c r="Z66" s="193" t="s">
        <v>178</v>
      </c>
      <c r="AA66" s="200">
        <v>43269</v>
      </c>
      <c r="AB66" s="22">
        <v>0</v>
      </c>
      <c r="AC66" s="170">
        <v>0</v>
      </c>
      <c r="AD66" s="209">
        <v>105</v>
      </c>
      <c r="AE66" s="194">
        <v>21228.9</v>
      </c>
      <c r="AF66" s="209"/>
      <c r="AG66" s="194"/>
      <c r="AH66" s="209"/>
      <c r="AI66" s="194"/>
      <c r="AJ66" s="232"/>
      <c r="AK66" s="170">
        <f t="shared" si="6"/>
        <v>21228.9</v>
      </c>
      <c r="AL66" s="272">
        <v>0</v>
      </c>
      <c r="AM66" s="212">
        <v>0</v>
      </c>
      <c r="AN66" s="269">
        <v>105</v>
      </c>
      <c r="AO66" s="217">
        <f t="shared" si="2"/>
        <v>21228.9</v>
      </c>
      <c r="AP66" s="232"/>
      <c r="AQ66" s="229"/>
      <c r="AR66" s="212">
        <v>202.18</v>
      </c>
      <c r="AS66" s="212">
        <f t="shared" si="3"/>
        <v>0</v>
      </c>
      <c r="AT66" s="227">
        <v>105</v>
      </c>
      <c r="AU66" s="228">
        <f t="shared" si="4"/>
        <v>21228.9</v>
      </c>
      <c r="AV66" s="279">
        <f t="shared" si="5"/>
        <v>105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187</v>
      </c>
      <c r="V67" s="115">
        <v>1418</v>
      </c>
      <c r="W67" s="114">
        <v>43312</v>
      </c>
      <c r="X67" s="193" t="s">
        <v>184</v>
      </c>
      <c r="Y67" s="200">
        <v>43332</v>
      </c>
      <c r="Z67" s="193" t="s">
        <v>185</v>
      </c>
      <c r="AA67" s="200">
        <v>43320</v>
      </c>
      <c r="AB67" s="22">
        <v>0</v>
      </c>
      <c r="AC67" s="170">
        <v>0</v>
      </c>
      <c r="AD67" s="209">
        <v>30</v>
      </c>
      <c r="AE67" s="194">
        <v>5880</v>
      </c>
      <c r="AF67" s="209"/>
      <c r="AG67" s="194"/>
      <c r="AH67" s="209"/>
      <c r="AI67" s="194"/>
      <c r="AJ67" s="232"/>
      <c r="AK67" s="170">
        <f t="shared" si="6"/>
        <v>5880</v>
      </c>
      <c r="AL67" s="272">
        <v>0</v>
      </c>
      <c r="AM67" s="212">
        <v>0</v>
      </c>
      <c r="AN67" s="269">
        <v>30</v>
      </c>
      <c r="AO67" s="217">
        <v>0</v>
      </c>
      <c r="AP67" s="232"/>
      <c r="AQ67" s="229"/>
      <c r="AR67" s="212">
        <v>196</v>
      </c>
      <c r="AS67" s="212">
        <f t="shared" si="3"/>
        <v>0</v>
      </c>
      <c r="AT67" s="227">
        <v>30</v>
      </c>
      <c r="AU67" s="228">
        <f t="shared" si="4"/>
        <v>5880</v>
      </c>
      <c r="AV67" s="279">
        <f t="shared" si="5"/>
        <v>30</v>
      </c>
    </row>
    <row r="68" spans="1:48" s="62" customFormat="1" ht="26.25" customHeight="1">
      <c r="A68" s="59"/>
      <c r="B68" s="60"/>
      <c r="C68" s="60"/>
      <c r="D68" s="22"/>
      <c r="E68" s="79"/>
      <c r="F68" s="53" t="s">
        <v>65</v>
      </c>
      <c r="G68" s="222" t="s">
        <v>111</v>
      </c>
      <c r="H68" s="193"/>
      <c r="I68" s="193"/>
      <c r="J68" s="193"/>
      <c r="K68" s="193"/>
      <c r="L68" s="243"/>
      <c r="M68" s="242"/>
      <c r="N68" s="243"/>
      <c r="O68" s="193"/>
      <c r="P68" s="243"/>
      <c r="Q68" s="193"/>
      <c r="R68" s="243"/>
      <c r="S68" s="193"/>
      <c r="T68" s="243"/>
      <c r="U68" s="203"/>
      <c r="V68" s="115"/>
      <c r="W68" s="114"/>
      <c r="X68" s="193"/>
      <c r="Y68" s="200"/>
      <c r="Z68" s="193"/>
      <c r="AA68" s="200"/>
      <c r="AB68" s="22"/>
      <c r="AC68" s="170"/>
      <c r="AD68" s="209"/>
      <c r="AE68" s="194"/>
      <c r="AF68" s="209"/>
      <c r="AG68" s="194"/>
      <c r="AH68" s="209"/>
      <c r="AI68" s="194"/>
      <c r="AJ68" s="232"/>
      <c r="AK68" s="170"/>
      <c r="AL68" s="272"/>
      <c r="AM68" s="212"/>
      <c r="AN68" s="269"/>
      <c r="AO68" s="217"/>
      <c r="AP68" s="232"/>
      <c r="AQ68" s="229"/>
      <c r="AR68" s="212"/>
      <c r="AS68" s="212"/>
      <c r="AT68" s="227">
        <v>30</v>
      </c>
      <c r="AU68" s="228"/>
      <c r="AV68" s="279">
        <f t="shared" si="5"/>
        <v>30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249</v>
      </c>
      <c r="G69" s="275" t="s">
        <v>146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>
        <v>250</v>
      </c>
      <c r="P69" s="276">
        <v>66042.58</v>
      </c>
      <c r="Q69" s="115"/>
      <c r="R69" s="276"/>
      <c r="S69" s="115"/>
      <c r="T69" s="276"/>
      <c r="U69" s="278" t="s">
        <v>181</v>
      </c>
      <c r="V69" s="115">
        <v>1405</v>
      </c>
      <c r="W69" s="114">
        <v>43052</v>
      </c>
      <c r="X69" s="115" t="s">
        <v>182</v>
      </c>
      <c r="Y69" s="221">
        <v>43201</v>
      </c>
      <c r="Z69" s="115"/>
      <c r="AA69" s="115"/>
      <c r="AB69" s="22">
        <v>0</v>
      </c>
      <c r="AC69" s="170">
        <v>0</v>
      </c>
      <c r="AD69" s="208">
        <v>125</v>
      </c>
      <c r="AE69" s="170">
        <v>26255</v>
      </c>
      <c r="AF69" s="208"/>
      <c r="AG69" s="170"/>
      <c r="AH69" s="208"/>
      <c r="AI69" s="170"/>
      <c r="AJ69" s="232"/>
      <c r="AK69" s="170">
        <f t="shared" si="6"/>
        <v>26255</v>
      </c>
      <c r="AL69" s="270">
        <f>63+62</f>
        <v>125</v>
      </c>
      <c r="AM69" s="170">
        <v>26255</v>
      </c>
      <c r="AN69" s="270">
        <v>0</v>
      </c>
      <c r="AO69" s="170">
        <f t="shared" si="2"/>
        <v>0</v>
      </c>
      <c r="AP69" s="233"/>
      <c r="AQ69" s="233"/>
      <c r="AR69" s="170">
        <v>210.04</v>
      </c>
      <c r="AS69" s="170">
        <f t="shared" si="3"/>
        <v>0</v>
      </c>
      <c r="AT69" s="208">
        <v>0</v>
      </c>
      <c r="AU69" s="170">
        <f t="shared" si="4"/>
        <v>0</v>
      </c>
      <c r="AV69" s="233">
        <f t="shared" si="5"/>
        <v>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/>
      <c r="P70" s="276"/>
      <c r="Q70" s="115"/>
      <c r="R70" s="276"/>
      <c r="S70" s="115"/>
      <c r="T70" s="276"/>
      <c r="U70" s="278" t="s">
        <v>145</v>
      </c>
      <c r="V70" s="115">
        <v>1381</v>
      </c>
      <c r="W70" s="114">
        <v>43047</v>
      </c>
      <c r="X70" s="115" t="s">
        <v>144</v>
      </c>
      <c r="Y70" s="221">
        <v>43201</v>
      </c>
      <c r="Z70" s="115"/>
      <c r="AA70" s="115"/>
      <c r="AB70" s="22">
        <v>0</v>
      </c>
      <c r="AC70" s="170">
        <v>0</v>
      </c>
      <c r="AD70" s="208">
        <v>80</v>
      </c>
      <c r="AE70" s="170">
        <v>16803.2</v>
      </c>
      <c r="AF70" s="208"/>
      <c r="AG70" s="170"/>
      <c r="AH70" s="208"/>
      <c r="AI70" s="170"/>
      <c r="AJ70" s="232"/>
      <c r="AK70" s="170">
        <f t="shared" si="6"/>
        <v>16803.2</v>
      </c>
      <c r="AL70" s="270">
        <v>80</v>
      </c>
      <c r="AM70" s="170">
        <v>16803.2</v>
      </c>
      <c r="AN70" s="270">
        <v>0</v>
      </c>
      <c r="AO70" s="170">
        <f t="shared" si="2"/>
        <v>0</v>
      </c>
      <c r="AP70" s="233"/>
      <c r="AQ70" s="233"/>
      <c r="AR70" s="170">
        <f>AM70/AL70</f>
        <v>210.04000000000002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148</v>
      </c>
      <c r="V71" s="115">
        <v>546</v>
      </c>
      <c r="W71" s="114">
        <v>43182</v>
      </c>
      <c r="X71" s="115" t="s">
        <v>149</v>
      </c>
      <c r="Y71" s="221">
        <v>43201</v>
      </c>
      <c r="Z71" s="115" t="s">
        <v>147</v>
      </c>
      <c r="AA71" s="221">
        <v>43252</v>
      </c>
      <c r="AB71" s="22">
        <v>0</v>
      </c>
      <c r="AC71" s="170">
        <v>0</v>
      </c>
      <c r="AD71" s="208">
        <v>10</v>
      </c>
      <c r="AE71" s="170">
        <v>2038.7</v>
      </c>
      <c r="AF71" s="208"/>
      <c r="AG71" s="170"/>
      <c r="AH71" s="208"/>
      <c r="AI71" s="170"/>
      <c r="AJ71" s="232"/>
      <c r="AK71" s="170">
        <f t="shared" si="6"/>
        <v>2038.7</v>
      </c>
      <c r="AL71" s="270">
        <v>10</v>
      </c>
      <c r="AM71" s="170">
        <v>2038.7</v>
      </c>
      <c r="AN71" s="270">
        <v>0</v>
      </c>
      <c r="AO71" s="170">
        <f t="shared" si="2"/>
        <v>0</v>
      </c>
      <c r="AP71" s="233"/>
      <c r="AQ71" s="233"/>
      <c r="AR71" s="170">
        <f>AM71/AL71</f>
        <v>203.87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5.5" hidden="1" customHeight="1">
      <c r="A72" s="59"/>
      <c r="B72" s="60"/>
      <c r="C72" s="60"/>
      <c r="D72" s="22"/>
      <c r="E72" s="79" t="s">
        <v>24</v>
      </c>
      <c r="F72" s="51" t="s">
        <v>250</v>
      </c>
      <c r="G72" s="275" t="s">
        <v>140</v>
      </c>
      <c r="H72" s="115" t="s">
        <v>91</v>
      </c>
      <c r="I72" s="115" t="s">
        <v>91</v>
      </c>
      <c r="J72" s="115">
        <v>1080</v>
      </c>
      <c r="K72" s="115">
        <v>2</v>
      </c>
      <c r="L72" s="276">
        <v>304.58999999999997</v>
      </c>
      <c r="M72" s="277">
        <f t="shared" si="0"/>
        <v>2160</v>
      </c>
      <c r="N72" s="276">
        <f t="shared" si="1"/>
        <v>657914.39999999991</v>
      </c>
      <c r="O72" s="115">
        <v>180</v>
      </c>
      <c r="P72" s="276">
        <v>49908.6</v>
      </c>
      <c r="Q72" s="115">
        <v>1080</v>
      </c>
      <c r="R72" s="276">
        <v>323838</v>
      </c>
      <c r="S72" s="115">
        <v>602</v>
      </c>
      <c r="T72" s="276">
        <v>183363.18</v>
      </c>
      <c r="U72" s="278" t="s">
        <v>139</v>
      </c>
      <c r="V72" s="115">
        <v>427</v>
      </c>
      <c r="W72" s="114">
        <v>43164</v>
      </c>
      <c r="X72" s="115" t="s">
        <v>138</v>
      </c>
      <c r="Y72" s="221">
        <v>43164</v>
      </c>
      <c r="Z72" s="115"/>
      <c r="AA72" s="115"/>
      <c r="AB72" s="22">
        <v>0</v>
      </c>
      <c r="AC72" s="170">
        <v>0</v>
      </c>
      <c r="AD72" s="208">
        <v>56</v>
      </c>
      <c r="AE72" s="170">
        <v>16794.400000000001</v>
      </c>
      <c r="AF72" s="208"/>
      <c r="AG72" s="170"/>
      <c r="AH72" s="208"/>
      <c r="AI72" s="170"/>
      <c r="AJ72" s="232"/>
      <c r="AK72" s="170">
        <f t="shared" si="6"/>
        <v>16794.400000000001</v>
      </c>
      <c r="AL72" s="270">
        <v>0</v>
      </c>
      <c r="AM72" s="170">
        <v>0</v>
      </c>
      <c r="AN72" s="270">
        <v>56</v>
      </c>
      <c r="AO72" s="170">
        <f t="shared" si="2"/>
        <v>16794.400000000001</v>
      </c>
      <c r="AP72" s="233"/>
      <c r="AQ72" s="233"/>
      <c r="AR72" s="170">
        <v>299.89999999999998</v>
      </c>
      <c r="AS72" s="170">
        <f t="shared" si="3"/>
        <v>0</v>
      </c>
      <c r="AT72" s="233">
        <f>18-18</f>
        <v>0</v>
      </c>
      <c r="AU72" s="386">
        <f t="shared" si="4"/>
        <v>0</v>
      </c>
      <c r="AV72" s="279">
        <f t="shared" si="5"/>
        <v>0</v>
      </c>
    </row>
    <row r="73" spans="1:48" s="62" customFormat="1" ht="25.5" customHeight="1">
      <c r="A73" s="59"/>
      <c r="B73" s="60"/>
      <c r="C73" s="60"/>
      <c r="D73" s="22"/>
      <c r="E73" s="79"/>
      <c r="F73" s="140" t="s">
        <v>55</v>
      </c>
      <c r="G73" s="222" t="s">
        <v>114</v>
      </c>
      <c r="H73" s="115"/>
      <c r="I73" s="115"/>
      <c r="J73" s="115"/>
      <c r="K73" s="115"/>
      <c r="L73" s="276"/>
      <c r="M73" s="277"/>
      <c r="N73" s="276"/>
      <c r="O73" s="115"/>
      <c r="P73" s="276"/>
      <c r="Q73" s="115"/>
      <c r="R73" s="276"/>
      <c r="S73" s="115"/>
      <c r="T73" s="276"/>
      <c r="U73" s="203" t="s">
        <v>263</v>
      </c>
      <c r="V73" s="115"/>
      <c r="W73" s="114"/>
      <c r="X73" s="115"/>
      <c r="Y73" s="221"/>
      <c r="Z73" s="115"/>
      <c r="AA73" s="115"/>
      <c r="AB73" s="22"/>
      <c r="AC73" s="170"/>
      <c r="AD73" s="208"/>
      <c r="AE73" s="170"/>
      <c r="AF73" s="208"/>
      <c r="AG73" s="170"/>
      <c r="AH73" s="208"/>
      <c r="AI73" s="170"/>
      <c r="AJ73" s="232">
        <v>36</v>
      </c>
      <c r="AK73" s="170"/>
      <c r="AL73" s="270"/>
      <c r="AM73" s="170"/>
      <c r="AN73" s="270"/>
      <c r="AO73" s="170"/>
      <c r="AP73" s="233"/>
      <c r="AQ73" s="233"/>
      <c r="AR73" s="170"/>
      <c r="AS73" s="170"/>
      <c r="AT73" s="227">
        <v>36</v>
      </c>
      <c r="AU73" s="386"/>
      <c r="AV73" s="279">
        <f>AT73</f>
        <v>36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262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234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v>234</v>
      </c>
      <c r="AU74" s="386"/>
      <c r="AV74" s="279">
        <f t="shared" si="5"/>
        <v>234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263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14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v>14</v>
      </c>
      <c r="AU75" s="386"/>
      <c r="AV75" s="279">
        <f t="shared" si="5"/>
        <v>14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283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76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76</v>
      </c>
      <c r="AU76" s="386"/>
      <c r="AV76" s="279">
        <f t="shared" si="5"/>
        <v>76</v>
      </c>
    </row>
    <row r="77" spans="1:48" s="62" customFormat="1" ht="25.5" customHeight="1">
      <c r="A77" s="59"/>
      <c r="B77" s="60"/>
      <c r="C77" s="60"/>
      <c r="D77" s="22"/>
      <c r="E77" s="79" t="s">
        <v>24</v>
      </c>
      <c r="F77" s="173" t="s">
        <v>64</v>
      </c>
      <c r="G77" s="222" t="s">
        <v>140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157</v>
      </c>
      <c r="V77" s="115">
        <v>605</v>
      </c>
      <c r="W77" s="114">
        <v>43193</v>
      </c>
      <c r="X77" s="193">
        <v>97</v>
      </c>
      <c r="Y77" s="200">
        <v>43202</v>
      </c>
      <c r="Z77" s="193" t="s">
        <v>158</v>
      </c>
      <c r="AA77" s="200">
        <v>43216</v>
      </c>
      <c r="AB77" s="22">
        <v>0</v>
      </c>
      <c r="AC77" s="170">
        <v>0</v>
      </c>
      <c r="AD77" s="209">
        <v>510</v>
      </c>
      <c r="AE77" s="194">
        <v>152949</v>
      </c>
      <c r="AF77" s="209"/>
      <c r="AG77" s="194"/>
      <c r="AH77" s="209"/>
      <c r="AI77" s="194"/>
      <c r="AJ77" s="232"/>
      <c r="AK77" s="170">
        <f t="shared" si="6"/>
        <v>152949</v>
      </c>
      <c r="AL77" s="272">
        <v>0</v>
      </c>
      <c r="AM77" s="212">
        <v>0</v>
      </c>
      <c r="AN77" s="269">
        <v>510</v>
      </c>
      <c r="AO77" s="217">
        <f t="shared" si="2"/>
        <v>152949</v>
      </c>
      <c r="AP77" s="232"/>
      <c r="AQ77" s="229"/>
      <c r="AR77" s="212">
        <v>299.89999999999998</v>
      </c>
      <c r="AS77" s="212">
        <f t="shared" si="3"/>
        <v>0</v>
      </c>
      <c r="AT77" s="227">
        <v>108</v>
      </c>
      <c r="AU77" s="228">
        <f t="shared" si="4"/>
        <v>32389.199999999997</v>
      </c>
      <c r="AV77" s="279">
        <f t="shared" si="5"/>
        <v>108</v>
      </c>
    </row>
    <row r="78" spans="1:48" s="62" customFormat="1" ht="25.5" customHeight="1">
      <c r="A78" s="59"/>
      <c r="B78" s="60"/>
      <c r="C78" s="60"/>
      <c r="D78" s="22"/>
      <c r="E78" s="79"/>
      <c r="F78" s="173" t="s">
        <v>64</v>
      </c>
      <c r="G78" s="222" t="s">
        <v>140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 t="s">
        <v>244</v>
      </c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/>
      <c r="AK78" s="170"/>
      <c r="AL78" s="272"/>
      <c r="AM78" s="212"/>
      <c r="AN78" s="269"/>
      <c r="AO78" s="217"/>
      <c r="AP78" s="232"/>
      <c r="AQ78" s="229"/>
      <c r="AR78" s="212"/>
      <c r="AS78" s="212"/>
      <c r="AT78" s="227">
        <v>368</v>
      </c>
      <c r="AU78" s="228"/>
      <c r="AV78" s="279">
        <f t="shared" si="5"/>
        <v>368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264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>
        <v>224</v>
      </c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224</v>
      </c>
      <c r="AU79" s="228"/>
      <c r="AV79" s="279">
        <f t="shared" si="5"/>
        <v>224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244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176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176</v>
      </c>
      <c r="AU80" s="228"/>
      <c r="AV80" s="279">
        <f t="shared" si="5"/>
        <v>176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285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154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154</v>
      </c>
      <c r="AU81" s="228"/>
      <c r="AV81" s="279">
        <f t="shared" si="5"/>
        <v>154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293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84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84</v>
      </c>
      <c r="AU82" s="228"/>
      <c r="AV82" s="279">
        <f t="shared" si="5"/>
        <v>84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48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48</v>
      </c>
      <c r="AU83" s="228"/>
      <c r="AV83" s="279">
        <f t="shared" si="5"/>
        <v>48</v>
      </c>
    </row>
    <row r="84" spans="1:48" s="62" customFormat="1" ht="31.5">
      <c r="A84" s="59"/>
      <c r="B84" s="60"/>
      <c r="C84" s="60"/>
      <c r="D84" s="22"/>
      <c r="E84" s="79"/>
      <c r="F84" s="51" t="s">
        <v>57</v>
      </c>
      <c r="G84" s="275" t="s">
        <v>121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278" t="s">
        <v>266</v>
      </c>
      <c r="V84" s="115"/>
      <c r="W84" s="114"/>
      <c r="X84" s="115"/>
      <c r="Y84" s="221"/>
      <c r="Z84" s="115"/>
      <c r="AA84" s="221"/>
      <c r="AB84" s="22"/>
      <c r="AC84" s="170"/>
      <c r="AD84" s="208"/>
      <c r="AE84" s="170"/>
      <c r="AF84" s="208"/>
      <c r="AG84" s="170"/>
      <c r="AH84" s="208"/>
      <c r="AI84" s="170"/>
      <c r="AJ84" s="233">
        <v>766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33">
        <v>0</v>
      </c>
      <c r="AU84" s="386"/>
      <c r="AV84" s="233">
        <f t="shared" si="5"/>
        <v>0</v>
      </c>
    </row>
    <row r="85" spans="1:48" s="62" customFormat="1" ht="31.5">
      <c r="A85" s="59"/>
      <c r="B85" s="60"/>
      <c r="C85" s="60"/>
      <c r="D85" s="22"/>
      <c r="E85" s="79"/>
      <c r="F85" s="150" t="s">
        <v>57</v>
      </c>
      <c r="G85" s="222" t="s">
        <v>121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266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450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136</v>
      </c>
      <c r="AU85" s="228"/>
      <c r="AV85" s="279">
        <f t="shared" si="5"/>
        <v>136</v>
      </c>
    </row>
    <row r="86" spans="1:48" s="62" customFormat="1" ht="31.5">
      <c r="A86" s="59"/>
      <c r="B86" s="60"/>
      <c r="C86" s="60"/>
      <c r="D86" s="22"/>
      <c r="E86" s="79"/>
      <c r="F86" s="150" t="s">
        <v>57</v>
      </c>
      <c r="G86" s="222" t="s">
        <v>279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266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610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27">
        <v>610</v>
      </c>
      <c r="AU86" s="228"/>
      <c r="AV86" s="279">
        <f t="shared" si="5"/>
        <v>610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279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284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723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v>723</v>
      </c>
      <c r="AU87" s="228"/>
      <c r="AV87" s="279">
        <f t="shared" si="5"/>
        <v>723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311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724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724</v>
      </c>
      <c r="AU88" s="228"/>
      <c r="AV88" s="279">
        <f t="shared" si="5"/>
        <v>724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311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726</v>
      </c>
      <c r="AU89" s="228"/>
      <c r="AV89" s="279">
        <f t="shared" si="5"/>
        <v>726</v>
      </c>
    </row>
    <row r="90" spans="1:48" s="62" customFormat="1" ht="26.25" customHeight="1">
      <c r="A90" s="59"/>
      <c r="B90" s="60"/>
      <c r="C90" s="60"/>
      <c r="D90" s="22"/>
      <c r="E90" s="79" t="s">
        <v>24</v>
      </c>
      <c r="F90" s="161" t="s">
        <v>61</v>
      </c>
      <c r="G90" s="222" t="s">
        <v>127</v>
      </c>
      <c r="H90" s="193" t="s">
        <v>91</v>
      </c>
      <c r="I90" s="193" t="s">
        <v>91</v>
      </c>
      <c r="J90" s="193">
        <v>48</v>
      </c>
      <c r="K90" s="193">
        <v>3</v>
      </c>
      <c r="L90" s="243">
        <v>71.97</v>
      </c>
      <c r="M90" s="242">
        <f t="shared" ref="M90:M91" si="11">J90*K90</f>
        <v>144</v>
      </c>
      <c r="N90" s="243">
        <f t="shared" ref="N90:N91" si="12">L90*M90</f>
        <v>10363.68</v>
      </c>
      <c r="O90" s="193">
        <v>14</v>
      </c>
      <c r="P90" s="243">
        <v>714.98</v>
      </c>
      <c r="Q90" s="193"/>
      <c r="R90" s="243"/>
      <c r="S90" s="193"/>
      <c r="T90" s="243"/>
      <c r="U90" s="203" t="s">
        <v>128</v>
      </c>
      <c r="V90" s="115">
        <v>135</v>
      </c>
      <c r="W90" s="114">
        <v>42761</v>
      </c>
      <c r="X90" s="193" t="s">
        <v>126</v>
      </c>
      <c r="Y90" s="200">
        <v>43130</v>
      </c>
      <c r="Z90" s="193"/>
      <c r="AA90" s="193"/>
      <c r="AB90" s="22">
        <v>0</v>
      </c>
      <c r="AC90" s="170">
        <v>0</v>
      </c>
      <c r="AD90" s="209">
        <v>14</v>
      </c>
      <c r="AE90" s="194">
        <v>774.48</v>
      </c>
      <c r="AF90" s="209"/>
      <c r="AG90" s="194"/>
      <c r="AH90" s="209"/>
      <c r="AI90" s="194"/>
      <c r="AJ90" s="232"/>
      <c r="AK90" s="170">
        <f t="shared" si="6"/>
        <v>774.48</v>
      </c>
      <c r="AL90" s="272">
        <v>0</v>
      </c>
      <c r="AM90" s="212">
        <v>0</v>
      </c>
      <c r="AN90" s="269">
        <v>14</v>
      </c>
      <c r="AO90" s="217">
        <f t="shared" ref="AO90:AO91" si="13">AC90+AK90-AM90</f>
        <v>774.48</v>
      </c>
      <c r="AP90" s="232"/>
      <c r="AQ90" s="229"/>
      <c r="AR90" s="212">
        <v>55.32</v>
      </c>
      <c r="AS90" s="212">
        <f t="shared" si="3"/>
        <v>0</v>
      </c>
      <c r="AT90" s="227">
        <v>10</v>
      </c>
      <c r="AU90" s="228">
        <f t="shared" si="4"/>
        <v>553.20000000000005</v>
      </c>
      <c r="AV90" s="279">
        <f t="shared" si="5"/>
        <v>10</v>
      </c>
    </row>
    <row r="91" spans="1:48" s="62" customFormat="1" ht="26.25" customHeight="1">
      <c r="A91" s="59"/>
      <c r="B91" s="60"/>
      <c r="C91" s="60"/>
      <c r="D91" s="22"/>
      <c r="E91" s="79" t="s">
        <v>24</v>
      </c>
      <c r="F91" s="161" t="s">
        <v>61</v>
      </c>
      <c r="G91" s="222" t="s">
        <v>127</v>
      </c>
      <c r="H91" s="193" t="s">
        <v>91</v>
      </c>
      <c r="I91" s="193" t="s">
        <v>91</v>
      </c>
      <c r="J91" s="193"/>
      <c r="K91" s="193"/>
      <c r="L91" s="243"/>
      <c r="M91" s="242">
        <f t="shared" si="11"/>
        <v>0</v>
      </c>
      <c r="N91" s="243">
        <f t="shared" si="12"/>
        <v>0</v>
      </c>
      <c r="O91" s="193"/>
      <c r="P91" s="243"/>
      <c r="Q91" s="193"/>
      <c r="R91" s="243"/>
      <c r="S91" s="193"/>
      <c r="T91" s="243"/>
      <c r="U91" s="203" t="s">
        <v>171</v>
      </c>
      <c r="V91" s="115">
        <v>834</v>
      </c>
      <c r="W91" s="114">
        <v>43222</v>
      </c>
      <c r="X91" s="193" t="s">
        <v>162</v>
      </c>
      <c r="Y91" s="200">
        <v>43242</v>
      </c>
      <c r="Z91" s="193"/>
      <c r="AA91" s="193"/>
      <c r="AB91" s="22">
        <v>0</v>
      </c>
      <c r="AC91" s="170">
        <v>0</v>
      </c>
      <c r="AD91" s="209">
        <v>26</v>
      </c>
      <c r="AE91" s="194">
        <v>1438.32</v>
      </c>
      <c r="AF91" s="209"/>
      <c r="AG91" s="194"/>
      <c r="AH91" s="209"/>
      <c r="AI91" s="194"/>
      <c r="AJ91" s="232"/>
      <c r="AK91" s="170">
        <f t="shared" si="6"/>
        <v>1438.32</v>
      </c>
      <c r="AL91" s="272">
        <v>0</v>
      </c>
      <c r="AM91" s="212">
        <v>0</v>
      </c>
      <c r="AN91" s="269">
        <v>26</v>
      </c>
      <c r="AO91" s="217">
        <f t="shared" si="13"/>
        <v>1438.32</v>
      </c>
      <c r="AP91" s="232"/>
      <c r="AQ91" s="229"/>
      <c r="AR91" s="212">
        <v>55.32</v>
      </c>
      <c r="AS91" s="212">
        <f t="shared" si="3"/>
        <v>0</v>
      </c>
      <c r="AT91" s="227">
        <v>26</v>
      </c>
      <c r="AU91" s="228">
        <f t="shared" si="4"/>
        <v>1438.32</v>
      </c>
      <c r="AV91" s="279">
        <f t="shared" si="5"/>
        <v>26</v>
      </c>
    </row>
    <row r="92" spans="1:48" s="251" customFormat="1" ht="21" customHeight="1">
      <c r="A92" s="20" t="s">
        <v>11</v>
      </c>
      <c r="B92" s="20"/>
      <c r="C92" s="20"/>
      <c r="D92" s="695" t="s">
        <v>34</v>
      </c>
      <c r="E92" s="696"/>
      <c r="F92" s="697"/>
      <c r="G92" s="246"/>
      <c r="H92" s="246"/>
      <c r="I92" s="246"/>
      <c r="J92" s="246"/>
      <c r="K92" s="247">
        <f>SUM(K17:K91)</f>
        <v>24</v>
      </c>
      <c r="L92" s="248"/>
      <c r="M92" s="246"/>
      <c r="N92" s="249">
        <f>SUM(N17:N91)</f>
        <v>2156307.44</v>
      </c>
      <c r="O92" s="248"/>
      <c r="P92" s="249">
        <f>SUM(P17:P91)</f>
        <v>1298976.4000000001</v>
      </c>
      <c r="Q92" s="248"/>
      <c r="R92" s="249">
        <f>SUM(R17:R91)</f>
        <v>928054.79999999993</v>
      </c>
      <c r="S92" s="248"/>
      <c r="T92" s="249">
        <f>SUM(T17:T91)</f>
        <v>466648.98</v>
      </c>
      <c r="U92" s="291" t="s">
        <v>156</v>
      </c>
      <c r="V92" s="291" t="s">
        <v>156</v>
      </c>
      <c r="W92" s="291" t="s">
        <v>156</v>
      </c>
      <c r="X92" s="250" t="s">
        <v>156</v>
      </c>
      <c r="Y92" s="250" t="s">
        <v>156</v>
      </c>
      <c r="Z92" s="250" t="s">
        <v>156</v>
      </c>
      <c r="AA92" s="250" t="s">
        <v>156</v>
      </c>
      <c r="AB92" s="176">
        <f>SUM(AB17:AB46)</f>
        <v>140</v>
      </c>
      <c r="AC92" s="171">
        <f>SUM(AC17:AC71)</f>
        <v>77947.959999999992</v>
      </c>
      <c r="AD92" s="210">
        <f t="shared" ref="AD92:AQ92" si="14">SUM(AD17:AD91)</f>
        <v>4914</v>
      </c>
      <c r="AE92" s="195">
        <f t="shared" si="14"/>
        <v>1078752.51</v>
      </c>
      <c r="AF92" s="210">
        <f t="shared" si="14"/>
        <v>0</v>
      </c>
      <c r="AG92" s="195">
        <f t="shared" si="14"/>
        <v>0</v>
      </c>
      <c r="AH92" s="210">
        <f t="shared" si="14"/>
        <v>0</v>
      </c>
      <c r="AI92" s="195">
        <f t="shared" si="14"/>
        <v>0</v>
      </c>
      <c r="AJ92" s="210">
        <f t="shared" si="14"/>
        <v>6978</v>
      </c>
      <c r="AK92" s="175">
        <f t="shared" si="14"/>
        <v>1078752.51</v>
      </c>
      <c r="AL92" s="213">
        <f t="shared" si="14"/>
        <v>742</v>
      </c>
      <c r="AM92" s="214">
        <f t="shared" si="14"/>
        <v>175808.55000000005</v>
      </c>
      <c r="AN92" s="218">
        <f t="shared" si="14"/>
        <v>4312</v>
      </c>
      <c r="AO92" s="219">
        <f t="shared" si="14"/>
        <v>964298.99000000011</v>
      </c>
      <c r="AP92" s="286">
        <f t="shared" si="14"/>
        <v>0</v>
      </c>
      <c r="AQ92" s="287">
        <f t="shared" si="14"/>
        <v>0</v>
      </c>
      <c r="AR92" s="226" t="s">
        <v>156</v>
      </c>
      <c r="AS92" s="226">
        <f>SUM(AS17:AS91)</f>
        <v>0</v>
      </c>
      <c r="AT92" s="227">
        <f>SUM(AT17:AT91)</f>
        <v>8820</v>
      </c>
      <c r="AU92" s="228">
        <f>SUM(AU17:AU91)</f>
        <v>628781.37999999989</v>
      </c>
      <c r="AV92" s="510">
        <f>SUM(AV17:AV91)</f>
        <v>8820</v>
      </c>
    </row>
    <row r="93" spans="1:48" s="336" customFormat="1" ht="2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47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336" customFormat="1" ht="21" hidden="1" customHeight="1">
      <c r="A94" s="20"/>
      <c r="B94" s="20"/>
      <c r="C94" s="20"/>
      <c r="D94" s="294"/>
      <c r="E94" s="294"/>
      <c r="F94" s="294"/>
      <c r="G94" s="330"/>
      <c r="H94" s="330"/>
      <c r="I94" s="330"/>
      <c r="J94" s="330"/>
      <c r="K94" s="331"/>
      <c r="L94" s="332"/>
      <c r="M94" s="330"/>
      <c r="N94" s="333"/>
      <c r="O94" s="332"/>
      <c r="P94" s="333"/>
      <c r="Q94" s="332"/>
      <c r="R94" s="333"/>
      <c r="S94" s="332"/>
      <c r="T94" s="333"/>
      <c r="U94" s="295"/>
      <c r="V94" s="295"/>
      <c r="W94" s="295"/>
      <c r="X94" s="295"/>
      <c r="Y94" s="295"/>
      <c r="Z94" s="295"/>
      <c r="AA94" s="295"/>
      <c r="AB94" s="296"/>
      <c r="AC94" s="297"/>
      <c r="AD94" s="296"/>
      <c r="AE94" s="297"/>
      <c r="AF94" s="296"/>
      <c r="AG94" s="297"/>
      <c r="AH94" s="296"/>
      <c r="AI94" s="297"/>
      <c r="AJ94" s="478"/>
      <c r="AK94" s="299"/>
      <c r="AL94" s="334"/>
      <c r="AM94" s="297"/>
      <c r="AN94" s="296"/>
      <c r="AO94" s="297"/>
      <c r="AP94" s="298"/>
      <c r="AQ94" s="335"/>
      <c r="AR94" s="333"/>
      <c r="AS94" s="333"/>
      <c r="AT94" s="331"/>
      <c r="AU94" s="333"/>
      <c r="AV94" s="331"/>
    </row>
    <row r="95" spans="1:48" s="292" customFormat="1" ht="20.25" hidden="1">
      <c r="A95" s="301"/>
      <c r="B95" s="301"/>
      <c r="C95" s="301"/>
      <c r="D95" s="302"/>
      <c r="E95" s="301"/>
      <c r="F95" s="303" t="s">
        <v>205</v>
      </c>
      <c r="G95" s="303"/>
      <c r="H95" s="303" t="s">
        <v>208</v>
      </c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 t="s">
        <v>208</v>
      </c>
      <c r="AB95" s="303"/>
      <c r="AC95" s="303"/>
      <c r="AD95" s="303"/>
      <c r="AE95" s="303"/>
      <c r="AF95" s="303"/>
      <c r="AG95" s="303"/>
      <c r="AH95" s="303"/>
      <c r="AI95" s="303"/>
      <c r="AJ95" s="479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 hidden="1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479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20.25" hidden="1">
      <c r="A97" s="301"/>
      <c r="B97" s="301"/>
      <c r="C97" s="301"/>
      <c r="D97" s="302"/>
      <c r="E97" s="301"/>
      <c r="F97" s="303"/>
      <c r="G97" s="303"/>
      <c r="H97" s="303"/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/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5" hidden="1" customHeight="1">
      <c r="A98" s="309"/>
      <c r="B98" s="309"/>
      <c r="C98" s="309"/>
      <c r="D98" s="302"/>
      <c r="E98" s="309"/>
      <c r="F98" s="310"/>
      <c r="G98" s="310"/>
      <c r="H98" s="308"/>
      <c r="I98" s="308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8"/>
      <c r="V98" s="311"/>
      <c r="AA98" s="311"/>
      <c r="AJ98" s="480"/>
      <c r="AK98" s="312"/>
      <c r="AL98" s="309"/>
      <c r="AM98" s="31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18" hidden="1" customHeight="1">
      <c r="A99" s="314" t="s">
        <v>12</v>
      </c>
      <c r="B99" s="314"/>
      <c r="C99" s="314"/>
      <c r="D99" s="315"/>
      <c r="E99" s="314"/>
      <c r="F99" s="316" t="s">
        <v>206</v>
      </c>
      <c r="G99" s="316"/>
      <c r="H99" s="736" t="s">
        <v>209</v>
      </c>
      <c r="I99" s="736"/>
      <c r="J99" s="736"/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8"/>
      <c r="V99" s="319"/>
      <c r="X99" s="303"/>
      <c r="Y99" s="316"/>
      <c r="Z99" s="316"/>
      <c r="AA99" s="320" t="s">
        <v>209</v>
      </c>
      <c r="AB99" s="316"/>
      <c r="AC99" s="316"/>
      <c r="AD99" s="316"/>
      <c r="AE99" s="316"/>
      <c r="AF99" s="316"/>
      <c r="AG99" s="316"/>
      <c r="AH99" s="316"/>
      <c r="AI99" s="316"/>
      <c r="AJ99" s="481"/>
      <c r="AK99" s="316"/>
      <c r="AL99" s="314"/>
      <c r="AM99" s="316"/>
      <c r="AN99" s="314"/>
      <c r="AO99" s="321"/>
      <c r="AP99" s="307"/>
      <c r="AQ99" s="302"/>
      <c r="AR99" s="308"/>
      <c r="AS99" s="308"/>
      <c r="AT99" s="302"/>
      <c r="AU99" s="302"/>
      <c r="AV99" s="302"/>
    </row>
    <row r="100" spans="1:48" s="62" customFormat="1" ht="18.75" hidden="1">
      <c r="A100" s="11"/>
      <c r="B100" s="11"/>
      <c r="C100" s="11"/>
      <c r="D100" s="255"/>
      <c r="E100" s="11"/>
      <c r="F100" s="322"/>
      <c r="G100" s="322"/>
      <c r="H100" s="322"/>
      <c r="I100" s="322"/>
      <c r="J100" s="323"/>
      <c r="K100" s="323"/>
      <c r="L100" s="323"/>
      <c r="M100" s="323"/>
      <c r="N100" s="323"/>
      <c r="O100" s="323"/>
      <c r="P100" s="323"/>
      <c r="Q100" s="323"/>
      <c r="R100" s="323"/>
      <c r="S100" s="323"/>
      <c r="T100" s="323"/>
      <c r="U100" s="322"/>
      <c r="V100" s="322"/>
      <c r="W100" s="322"/>
      <c r="X100" s="322"/>
      <c r="Y100" s="322"/>
      <c r="Z100" s="322"/>
      <c r="AA100" s="322"/>
      <c r="AB100" s="322"/>
      <c r="AC100" s="322"/>
      <c r="AD100" s="322"/>
      <c r="AE100" s="322"/>
      <c r="AF100" s="322"/>
      <c r="AG100" s="322"/>
      <c r="AH100" s="322"/>
      <c r="AI100" s="322"/>
      <c r="AJ100" s="482"/>
      <c r="AK100" s="322"/>
      <c r="AL100" s="324"/>
      <c r="AM100" s="322"/>
      <c r="AN100" s="281"/>
      <c r="AO100" s="325"/>
      <c r="AP100" s="326"/>
      <c r="AQ100" s="574"/>
      <c r="AR100" s="255"/>
      <c r="AS100" s="255"/>
      <c r="AT100" s="574"/>
      <c r="AU100" s="574"/>
      <c r="AV100" s="574"/>
    </row>
    <row r="101" spans="1:48" s="103" customFormat="1" ht="57.75" hidden="1" customHeight="1">
      <c r="A101" s="11"/>
      <c r="B101" s="11"/>
      <c r="C101" s="11"/>
      <c r="D101" s="255"/>
      <c r="E101" s="720" t="s">
        <v>207</v>
      </c>
      <c r="F101" s="720"/>
      <c r="G101" s="327"/>
      <c r="H101" s="328"/>
      <c r="I101" s="328"/>
      <c r="J101" s="328"/>
      <c r="K101" s="328"/>
      <c r="L101" s="328"/>
      <c r="M101" s="328"/>
      <c r="N101" s="328"/>
      <c r="O101" s="328"/>
      <c r="P101" s="328"/>
      <c r="Q101" s="328"/>
      <c r="R101" s="328"/>
      <c r="S101" s="328"/>
      <c r="T101" s="328"/>
      <c r="U101" s="328"/>
      <c r="V101" s="329"/>
      <c r="W101" s="329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483"/>
      <c r="AK101" s="11"/>
      <c r="AL101" s="281"/>
      <c r="AM101" s="11"/>
      <c r="AN101" s="281"/>
      <c r="AP101" s="326"/>
      <c r="AQ101" s="574"/>
      <c r="AR101" s="255"/>
      <c r="AS101" s="255"/>
      <c r="AT101" s="574"/>
      <c r="AU101" s="574"/>
      <c r="AV101" s="574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2:F92"/>
    <mergeCell ref="H99:J99"/>
    <mergeCell ref="U14:U16"/>
    <mergeCell ref="V14:W15"/>
    <mergeCell ref="O15:P15"/>
    <mergeCell ref="Q15:R15"/>
    <mergeCell ref="S15:T15"/>
    <mergeCell ref="E101:F101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66" zoomScale="70" zoomScaleSheetLayoutView="70" workbookViewId="0">
      <selection activeCell="BA75" sqref="BA75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74"/>
      <c r="AR1" s="255"/>
      <c r="AS1" s="255"/>
      <c r="AT1" s="574"/>
      <c r="AU1" s="574"/>
      <c r="AV1" s="57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7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7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321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74"/>
      <c r="AR12" s="255"/>
      <c r="AS12" s="255"/>
      <c r="AT12" s="575"/>
      <c r="AU12" s="575"/>
      <c r="AV12" s="57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320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75"/>
      <c r="D16" s="748"/>
      <c r="E16" s="685"/>
      <c r="F16" s="685"/>
      <c r="G16" s="202"/>
      <c r="H16" s="201"/>
      <c r="I16" s="201"/>
      <c r="J16" s="241"/>
      <c r="K16" s="241"/>
      <c r="L16" s="241"/>
      <c r="M16" s="573" t="s">
        <v>77</v>
      </c>
      <c r="N16" s="573" t="s">
        <v>78</v>
      </c>
      <c r="O16" s="573" t="s">
        <v>77</v>
      </c>
      <c r="P16" s="573" t="s">
        <v>78</v>
      </c>
      <c r="Q16" s="573" t="s">
        <v>77</v>
      </c>
      <c r="R16" s="573" t="s">
        <v>78</v>
      </c>
      <c r="S16" s="573" t="s">
        <v>77</v>
      </c>
      <c r="T16" s="57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72" t="s">
        <v>77</v>
      </c>
      <c r="AE16" s="572" t="s">
        <v>78</v>
      </c>
      <c r="AF16" s="205" t="s">
        <v>77</v>
      </c>
      <c r="AG16" s="205" t="s">
        <v>78</v>
      </c>
      <c r="AH16" s="572" t="s">
        <v>77</v>
      </c>
      <c r="AI16" s="572" t="s">
        <v>78</v>
      </c>
      <c r="AJ16" s="207" t="s">
        <v>96</v>
      </c>
      <c r="AK16" s="96" t="s">
        <v>19</v>
      </c>
      <c r="AL16" s="570" t="s">
        <v>96</v>
      </c>
      <c r="AM16" s="570" t="s">
        <v>19</v>
      </c>
      <c r="AN16" s="216" t="s">
        <v>96</v>
      </c>
      <c r="AO16" s="216" t="s">
        <v>19</v>
      </c>
      <c r="AP16" s="207" t="s">
        <v>96</v>
      </c>
      <c r="AQ16" s="570" t="s">
        <v>96</v>
      </c>
      <c r="AR16" s="570" t="s">
        <v>107</v>
      </c>
      <c r="AS16" s="570" t="s">
        <v>19</v>
      </c>
      <c r="AT16" s="571" t="s">
        <v>96</v>
      </c>
      <c r="AU16" s="571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v>1</v>
      </c>
      <c r="AU18" s="228">
        <f t="shared" ref="AU18:AU93" si="4">AT18*AR18</f>
        <v>1026.1600000000001</v>
      </c>
      <c r="AV18" s="247">
        <f t="shared" ref="AV18:AV93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40</v>
      </c>
      <c r="AU31" s="228"/>
      <c r="AV31" s="279">
        <f t="shared" si="5"/>
        <v>40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39</v>
      </c>
      <c r="AU36" s="228"/>
      <c r="AV36" s="279">
        <f t="shared" si="5"/>
        <v>39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50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customHeight="1">
      <c r="A50" s="59"/>
      <c r="B50" s="60"/>
      <c r="C50" s="427"/>
      <c r="D50" s="428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27">
        <v>35</v>
      </c>
      <c r="AU50" s="386"/>
      <c r="AV50" s="279">
        <f t="shared" si="10"/>
        <v>35</v>
      </c>
    </row>
    <row r="51" spans="1:49" s="62" customFormat="1" ht="26.25" hidden="1" customHeight="1">
      <c r="A51" s="59"/>
      <c r="B51" s="60"/>
      <c r="C51" s="60"/>
      <c r="D51" s="22"/>
      <c r="E51" s="79"/>
      <c r="F51" s="51" t="s">
        <v>44</v>
      </c>
      <c r="G51" s="275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/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3"/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v>0</v>
      </c>
      <c r="AU51" s="386"/>
      <c r="AV51" s="233"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6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33">
        <f>160-140-20</f>
        <v>0</v>
      </c>
      <c r="AU54" s="386">
        <f t="shared" si="4"/>
        <v>0</v>
      </c>
      <c r="AV54" s="233">
        <f t="shared" si="5"/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6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v>255</v>
      </c>
      <c r="AU55" s="249">
        <f t="shared" si="4"/>
        <v>51555.9</v>
      </c>
      <c r="AV55" s="247">
        <f t="shared" si="5"/>
        <v>255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6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v>170</v>
      </c>
      <c r="AU57" s="228">
        <f t="shared" si="4"/>
        <v>34370.6</v>
      </c>
      <c r="AV57" s="247">
        <f t="shared" si="5"/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6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v>665</v>
      </c>
      <c r="AU58" s="249">
        <f t="shared" si="4"/>
        <v>134449.70000000001</v>
      </c>
      <c r="AV58" s="247">
        <f t="shared" si="5"/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6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6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33">
        <f>155-155</f>
        <v>0</v>
      </c>
      <c r="AU60" s="386">
        <f t="shared" si="4"/>
        <v>0</v>
      </c>
      <c r="AV60" s="233">
        <f t="shared" si="5"/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6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v>205</v>
      </c>
      <c r="AU61" s="249">
        <f t="shared" si="4"/>
        <v>41446.9</v>
      </c>
      <c r="AV61" s="247">
        <f t="shared" si="5"/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6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v>245</v>
      </c>
      <c r="AU62" s="228">
        <f t="shared" si="4"/>
        <v>49534.1</v>
      </c>
      <c r="AV62" s="247">
        <f t="shared" si="5"/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6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27">
        <f>555-60</f>
        <v>495</v>
      </c>
      <c r="AU63" s="228">
        <f t="shared" si="4"/>
        <v>100079.1</v>
      </c>
      <c r="AV63" s="279">
        <f t="shared" si="5"/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6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33">
        <f>45-45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6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33">
        <f>55-55</f>
        <v>0</v>
      </c>
      <c r="AU65" s="386">
        <f t="shared" si="4"/>
        <v>0</v>
      </c>
      <c r="AV65" s="233">
        <f t="shared" si="5"/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6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27">
        <v>210</v>
      </c>
      <c r="AU66" s="228">
        <f t="shared" si="4"/>
        <v>42457.8</v>
      </c>
      <c r="AV66" s="279">
        <f t="shared" si="5"/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6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27">
        <v>105</v>
      </c>
      <c r="AU67" s="228">
        <f t="shared" si="4"/>
        <v>21228.9</v>
      </c>
      <c r="AV67" s="279">
        <f t="shared" si="5"/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6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27">
        <v>30</v>
      </c>
      <c r="AU68" s="228">
        <f t="shared" si="4"/>
        <v>5880</v>
      </c>
      <c r="AV68" s="279">
        <f t="shared" si="5"/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27">
        <v>30</v>
      </c>
      <c r="AU69" s="228"/>
      <c r="AV69" s="279">
        <f t="shared" si="5"/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6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33">
        <f>18-18</f>
        <v>0</v>
      </c>
      <c r="AU73" s="386">
        <f t="shared" si="4"/>
        <v>0</v>
      </c>
      <c r="AV73" s="279">
        <f t="shared" si="5"/>
        <v>0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v>36</v>
      </c>
      <c r="AU74" s="386"/>
      <c r="AV74" s="279">
        <f>AT74</f>
        <v>36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v>234</v>
      </c>
      <c r="AU75" s="386"/>
      <c r="AV75" s="279">
        <f t="shared" si="5"/>
        <v>234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14</v>
      </c>
      <c r="AU76" s="386"/>
      <c r="AV76" s="279">
        <f t="shared" si="5"/>
        <v>14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27">
        <v>76</v>
      </c>
      <c r="AU77" s="386"/>
      <c r="AV77" s="279">
        <f t="shared" si="5"/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6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27">
        <v>108</v>
      </c>
      <c r="AU78" s="228">
        <f t="shared" si="4"/>
        <v>32389.199999999997</v>
      </c>
      <c r="AV78" s="279">
        <f t="shared" si="5"/>
        <v>108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368</v>
      </c>
      <c r="AU79" s="228"/>
      <c r="AV79" s="279">
        <f t="shared" si="5"/>
        <v>368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224</v>
      </c>
      <c r="AU80" s="228"/>
      <c r="AV80" s="279">
        <f t="shared" si="5"/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176</v>
      </c>
      <c r="AU81" s="228"/>
      <c r="AV81" s="279">
        <f t="shared" si="5"/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154</v>
      </c>
      <c r="AU82" s="228"/>
      <c r="AV82" s="279">
        <f t="shared" si="5"/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84</v>
      </c>
      <c r="AU83" s="228"/>
      <c r="AV83" s="279">
        <f t="shared" si="5"/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27">
        <v>48</v>
      </c>
      <c r="AU84" s="228"/>
      <c r="AV84" s="279">
        <f t="shared" si="5"/>
        <v>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</v>
      </c>
      <c r="AU85" s="228"/>
      <c r="AV85" s="279">
        <f t="shared" si="5"/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v>0</v>
      </c>
      <c r="AU86" s="386"/>
      <c r="AV86" s="233">
        <f t="shared" si="5"/>
        <v>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121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266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450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v>136</v>
      </c>
      <c r="AU87" s="228"/>
      <c r="AV87" s="279">
        <f t="shared" si="5"/>
        <v>136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610</v>
      </c>
      <c r="AU88" s="228"/>
      <c r="AV88" s="279">
        <f t="shared" si="5"/>
        <v>610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723</v>
      </c>
      <c r="AU89" s="228"/>
      <c r="AV89" s="279">
        <f t="shared" si="5"/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724</v>
      </c>
      <c r="AU90" s="228"/>
      <c r="AV90" s="279">
        <f t="shared" si="5"/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27">
        <v>726</v>
      </c>
      <c r="AU91" s="228"/>
      <c r="AV91" s="279">
        <f t="shared" si="5"/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1">J92*K92</f>
        <v>144</v>
      </c>
      <c r="N92" s="243">
        <f t="shared" ref="N92:N93" si="12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6"/>
        <v>774.48</v>
      </c>
      <c r="AL92" s="272">
        <v>0</v>
      </c>
      <c r="AM92" s="212">
        <v>0</v>
      </c>
      <c r="AN92" s="269">
        <v>14</v>
      </c>
      <c r="AO92" s="217">
        <f t="shared" ref="AO92:AO93" si="13">AC92+AK92-AM92</f>
        <v>774.48</v>
      </c>
      <c r="AP92" s="232"/>
      <c r="AQ92" s="229"/>
      <c r="AR92" s="212">
        <v>55.32</v>
      </c>
      <c r="AS92" s="212">
        <f t="shared" si="3"/>
        <v>0</v>
      </c>
      <c r="AT92" s="227">
        <v>10</v>
      </c>
      <c r="AU92" s="228">
        <f t="shared" si="4"/>
        <v>553.20000000000005</v>
      </c>
      <c r="AV92" s="279">
        <f t="shared" si="5"/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1"/>
        <v>0</v>
      </c>
      <c r="N93" s="243">
        <f t="shared" si="12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6"/>
        <v>1438.32</v>
      </c>
      <c r="AL93" s="272">
        <v>0</v>
      </c>
      <c r="AM93" s="212">
        <v>0</v>
      </c>
      <c r="AN93" s="269">
        <v>26</v>
      </c>
      <c r="AO93" s="217">
        <f t="shared" si="13"/>
        <v>1438.32</v>
      </c>
      <c r="AP93" s="232"/>
      <c r="AQ93" s="229"/>
      <c r="AR93" s="212">
        <v>55.32</v>
      </c>
      <c r="AS93" s="212">
        <f t="shared" si="3"/>
        <v>0</v>
      </c>
      <c r="AT93" s="227">
        <v>26</v>
      </c>
      <c r="AU93" s="228">
        <f t="shared" si="4"/>
        <v>1438.32</v>
      </c>
      <c r="AV93" s="279">
        <f t="shared" si="5"/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4">SUM(AD17:AD93)</f>
        <v>4914</v>
      </c>
      <c r="AE94" s="195">
        <f t="shared" si="14"/>
        <v>1078752.51</v>
      </c>
      <c r="AF94" s="210">
        <f t="shared" si="14"/>
        <v>0</v>
      </c>
      <c r="AG94" s="195">
        <f t="shared" si="14"/>
        <v>0</v>
      </c>
      <c r="AH94" s="210">
        <f t="shared" si="14"/>
        <v>0</v>
      </c>
      <c r="AI94" s="195">
        <f t="shared" si="14"/>
        <v>0</v>
      </c>
      <c r="AJ94" s="210">
        <f t="shared" si="14"/>
        <v>7049</v>
      </c>
      <c r="AK94" s="175">
        <f t="shared" si="14"/>
        <v>1078752.51</v>
      </c>
      <c r="AL94" s="213">
        <f t="shared" si="14"/>
        <v>742</v>
      </c>
      <c r="AM94" s="214">
        <f t="shared" si="14"/>
        <v>175808.55000000005</v>
      </c>
      <c r="AN94" s="218">
        <f t="shared" si="14"/>
        <v>4312</v>
      </c>
      <c r="AO94" s="219">
        <f t="shared" si="14"/>
        <v>964298.99000000011</v>
      </c>
      <c r="AP94" s="286">
        <f t="shared" si="14"/>
        <v>0</v>
      </c>
      <c r="AQ94" s="287">
        <f t="shared" si="14"/>
        <v>0</v>
      </c>
      <c r="AR94" s="226" t="s">
        <v>156</v>
      </c>
      <c r="AS94" s="226">
        <f>SUM(AS17:AS93)</f>
        <v>0</v>
      </c>
      <c r="AT94" s="227">
        <f>SUM(AT17:AT93)</f>
        <v>8891</v>
      </c>
      <c r="AU94" s="228">
        <f>SUM(AU17:AU93)</f>
        <v>628781.37999999989</v>
      </c>
      <c r="AV94" s="510">
        <f>SUM(AV17:AV93)</f>
        <v>8891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74"/>
      <c r="AR102" s="255"/>
      <c r="AS102" s="255"/>
      <c r="AT102" s="574"/>
      <c r="AU102" s="574"/>
      <c r="AV102" s="574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74"/>
      <c r="AR103" s="255"/>
      <c r="AS103" s="255"/>
      <c r="AT103" s="574"/>
      <c r="AU103" s="574"/>
      <c r="AV103" s="574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1" zoomScale="70" zoomScaleSheetLayoutView="70" workbookViewId="0">
      <selection activeCell="BA14" sqref="BA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80"/>
      <c r="AR1" s="255"/>
      <c r="AS1" s="255"/>
      <c r="AT1" s="580"/>
      <c r="AU1" s="580"/>
      <c r="AV1" s="58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8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8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325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80"/>
      <c r="AR12" s="255"/>
      <c r="AS12" s="255"/>
      <c r="AT12" s="581"/>
      <c r="AU12" s="581"/>
      <c r="AV12" s="58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324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81"/>
      <c r="D16" s="748"/>
      <c r="E16" s="685"/>
      <c r="F16" s="685"/>
      <c r="G16" s="202"/>
      <c r="H16" s="201"/>
      <c r="I16" s="201"/>
      <c r="J16" s="241"/>
      <c r="K16" s="241"/>
      <c r="L16" s="241"/>
      <c r="M16" s="579" t="s">
        <v>77</v>
      </c>
      <c r="N16" s="579" t="s">
        <v>78</v>
      </c>
      <c r="O16" s="579" t="s">
        <v>77</v>
      </c>
      <c r="P16" s="579" t="s">
        <v>78</v>
      </c>
      <c r="Q16" s="579" t="s">
        <v>77</v>
      </c>
      <c r="R16" s="579" t="s">
        <v>78</v>
      </c>
      <c r="S16" s="579" t="s">
        <v>77</v>
      </c>
      <c r="T16" s="57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78" t="s">
        <v>77</v>
      </c>
      <c r="AE16" s="578" t="s">
        <v>78</v>
      </c>
      <c r="AF16" s="205" t="s">
        <v>77</v>
      </c>
      <c r="AG16" s="205" t="s">
        <v>78</v>
      </c>
      <c r="AH16" s="578" t="s">
        <v>77</v>
      </c>
      <c r="AI16" s="578" t="s">
        <v>78</v>
      </c>
      <c r="AJ16" s="207" t="s">
        <v>96</v>
      </c>
      <c r="AK16" s="96" t="s">
        <v>19</v>
      </c>
      <c r="AL16" s="576" t="s">
        <v>96</v>
      </c>
      <c r="AM16" s="576" t="s">
        <v>19</v>
      </c>
      <c r="AN16" s="216" t="s">
        <v>96</v>
      </c>
      <c r="AO16" s="216" t="s">
        <v>19</v>
      </c>
      <c r="AP16" s="207" t="s">
        <v>96</v>
      </c>
      <c r="AQ16" s="576" t="s">
        <v>96</v>
      </c>
      <c r="AR16" s="576" t="s">
        <v>107</v>
      </c>
      <c r="AS16" s="576" t="s">
        <v>19</v>
      </c>
      <c r="AT16" s="577" t="s">
        <v>96</v>
      </c>
      <c r="AU16" s="57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v>1</v>
      </c>
      <c r="AU18" s="228">
        <f t="shared" ref="AU18:AU93" si="4">AT18*AR18</f>
        <v>1026.1600000000001</v>
      </c>
      <c r="AV18" s="247">
        <f t="shared" ref="AV18:AV93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40</v>
      </c>
      <c r="AU31" s="228"/>
      <c r="AV31" s="279">
        <f t="shared" si="5"/>
        <v>40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39</v>
      </c>
      <c r="AU36" s="228"/>
      <c r="AV36" s="279">
        <f t="shared" si="5"/>
        <v>39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50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customHeight="1">
      <c r="A50" s="59"/>
      <c r="B50" s="60"/>
      <c r="C50" s="427"/>
      <c r="D50" s="428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27">
        <v>35</v>
      </c>
      <c r="AU50" s="386"/>
      <c r="AV50" s="279">
        <f t="shared" si="10"/>
        <v>35</v>
      </c>
    </row>
    <row r="51" spans="1:49" s="62" customFormat="1" ht="26.25" hidden="1" customHeight="1">
      <c r="A51" s="59"/>
      <c r="B51" s="60"/>
      <c r="C51" s="60"/>
      <c r="D51" s="22"/>
      <c r="E51" s="79"/>
      <c r="F51" s="51" t="s">
        <v>44</v>
      </c>
      <c r="G51" s="275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/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3"/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v>0</v>
      </c>
      <c r="AU51" s="386"/>
      <c r="AV51" s="233"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6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33">
        <f>160-140-20</f>
        <v>0</v>
      </c>
      <c r="AU54" s="386">
        <f t="shared" si="4"/>
        <v>0</v>
      </c>
      <c r="AV54" s="233">
        <f t="shared" si="5"/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6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v>255</v>
      </c>
      <c r="AU55" s="249">
        <f t="shared" si="4"/>
        <v>51555.9</v>
      </c>
      <c r="AV55" s="247">
        <f t="shared" si="5"/>
        <v>255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6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v>170</v>
      </c>
      <c r="AU57" s="228">
        <f t="shared" si="4"/>
        <v>34370.6</v>
      </c>
      <c r="AV57" s="247">
        <f t="shared" si="5"/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6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v>665</v>
      </c>
      <c r="AU58" s="249">
        <f t="shared" si="4"/>
        <v>134449.70000000001</v>
      </c>
      <c r="AV58" s="247">
        <f t="shared" si="5"/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6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6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33">
        <f>155-155</f>
        <v>0</v>
      </c>
      <c r="AU60" s="386">
        <f t="shared" si="4"/>
        <v>0</v>
      </c>
      <c r="AV60" s="233">
        <f t="shared" si="5"/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6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v>205</v>
      </c>
      <c r="AU61" s="249">
        <f t="shared" si="4"/>
        <v>41446.9</v>
      </c>
      <c r="AV61" s="247">
        <f t="shared" si="5"/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6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v>245</v>
      </c>
      <c r="AU62" s="228">
        <f t="shared" si="4"/>
        <v>49534.1</v>
      </c>
      <c r="AV62" s="247">
        <f t="shared" si="5"/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6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27">
        <f>555-60</f>
        <v>495</v>
      </c>
      <c r="AU63" s="228">
        <f t="shared" si="4"/>
        <v>100079.1</v>
      </c>
      <c r="AV63" s="279">
        <f t="shared" si="5"/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6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33">
        <f>45-45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6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33">
        <f>55-55</f>
        <v>0</v>
      </c>
      <c r="AU65" s="386">
        <f t="shared" si="4"/>
        <v>0</v>
      </c>
      <c r="AV65" s="233">
        <f t="shared" si="5"/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6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27">
        <v>210</v>
      </c>
      <c r="AU66" s="228">
        <f t="shared" si="4"/>
        <v>42457.8</v>
      </c>
      <c r="AV66" s="279">
        <f t="shared" si="5"/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6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27">
        <v>105</v>
      </c>
      <c r="AU67" s="228">
        <f t="shared" si="4"/>
        <v>21228.9</v>
      </c>
      <c r="AV67" s="279">
        <f t="shared" si="5"/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6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27">
        <v>30</v>
      </c>
      <c r="AU68" s="228">
        <f t="shared" si="4"/>
        <v>5880</v>
      </c>
      <c r="AV68" s="279">
        <f t="shared" si="5"/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27">
        <v>30</v>
      </c>
      <c r="AU69" s="228"/>
      <c r="AV69" s="279">
        <f t="shared" si="5"/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6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33">
        <f>18-18</f>
        <v>0</v>
      </c>
      <c r="AU73" s="386">
        <f t="shared" si="4"/>
        <v>0</v>
      </c>
      <c r="AV73" s="279">
        <f t="shared" si="5"/>
        <v>0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v>36</v>
      </c>
      <c r="AU74" s="386"/>
      <c r="AV74" s="279">
        <f>AT74</f>
        <v>36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v>234</v>
      </c>
      <c r="AU75" s="386"/>
      <c r="AV75" s="279">
        <f t="shared" si="5"/>
        <v>234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14</v>
      </c>
      <c r="AU76" s="386"/>
      <c r="AV76" s="279">
        <f t="shared" si="5"/>
        <v>14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27">
        <v>76</v>
      </c>
      <c r="AU77" s="386"/>
      <c r="AV77" s="279">
        <f t="shared" si="5"/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6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27">
        <v>108</v>
      </c>
      <c r="AU78" s="228">
        <f t="shared" si="4"/>
        <v>32389.199999999997</v>
      </c>
      <c r="AV78" s="279">
        <f t="shared" si="5"/>
        <v>108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368</v>
      </c>
      <c r="AU79" s="228"/>
      <c r="AV79" s="279">
        <f t="shared" si="5"/>
        <v>368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224</v>
      </c>
      <c r="AU80" s="228"/>
      <c r="AV80" s="279">
        <f t="shared" si="5"/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176</v>
      </c>
      <c r="AU81" s="228"/>
      <c r="AV81" s="279">
        <f t="shared" si="5"/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154</v>
      </c>
      <c r="AU82" s="228"/>
      <c r="AV82" s="279">
        <f t="shared" si="5"/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84</v>
      </c>
      <c r="AU83" s="228"/>
      <c r="AV83" s="279">
        <f t="shared" si="5"/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27">
        <v>48</v>
      </c>
      <c r="AU84" s="228"/>
      <c r="AV84" s="279">
        <f t="shared" si="5"/>
        <v>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</v>
      </c>
      <c r="AU85" s="228"/>
      <c r="AV85" s="279">
        <f t="shared" si="5"/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v>0</v>
      </c>
      <c r="AU86" s="386"/>
      <c r="AV86" s="233">
        <f t="shared" si="5"/>
        <v>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121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266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450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v>136</v>
      </c>
      <c r="AU87" s="228"/>
      <c r="AV87" s="279">
        <f t="shared" si="5"/>
        <v>136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610</v>
      </c>
      <c r="AU88" s="228"/>
      <c r="AV88" s="279">
        <f t="shared" si="5"/>
        <v>610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723</v>
      </c>
      <c r="AU89" s="228"/>
      <c r="AV89" s="279">
        <f t="shared" si="5"/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724</v>
      </c>
      <c r="AU90" s="228"/>
      <c r="AV90" s="279">
        <f t="shared" si="5"/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27">
        <v>726</v>
      </c>
      <c r="AU91" s="228"/>
      <c r="AV91" s="279">
        <f t="shared" si="5"/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1">J92*K92</f>
        <v>144</v>
      </c>
      <c r="N92" s="243">
        <f t="shared" ref="N92:N93" si="12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6"/>
        <v>774.48</v>
      </c>
      <c r="AL92" s="272">
        <v>0</v>
      </c>
      <c r="AM92" s="212">
        <v>0</v>
      </c>
      <c r="AN92" s="269">
        <v>14</v>
      </c>
      <c r="AO92" s="217">
        <f t="shared" ref="AO92:AO93" si="13">AC92+AK92-AM92</f>
        <v>774.48</v>
      </c>
      <c r="AP92" s="232"/>
      <c r="AQ92" s="229"/>
      <c r="AR92" s="212">
        <v>55.32</v>
      </c>
      <c r="AS92" s="212">
        <f t="shared" si="3"/>
        <v>0</v>
      </c>
      <c r="AT92" s="227">
        <v>10</v>
      </c>
      <c r="AU92" s="228">
        <f t="shared" si="4"/>
        <v>553.20000000000005</v>
      </c>
      <c r="AV92" s="279">
        <f t="shared" si="5"/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1"/>
        <v>0</v>
      </c>
      <c r="N93" s="243">
        <f t="shared" si="12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6"/>
        <v>1438.32</v>
      </c>
      <c r="AL93" s="272">
        <v>0</v>
      </c>
      <c r="AM93" s="212">
        <v>0</v>
      </c>
      <c r="AN93" s="269">
        <v>26</v>
      </c>
      <c r="AO93" s="217">
        <f t="shared" si="13"/>
        <v>1438.32</v>
      </c>
      <c r="AP93" s="232"/>
      <c r="AQ93" s="229"/>
      <c r="AR93" s="212">
        <v>55.32</v>
      </c>
      <c r="AS93" s="212">
        <f t="shared" si="3"/>
        <v>0</v>
      </c>
      <c r="AT93" s="227">
        <v>26</v>
      </c>
      <c r="AU93" s="228">
        <f t="shared" si="4"/>
        <v>1438.32</v>
      </c>
      <c r="AV93" s="279">
        <f t="shared" si="5"/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4">SUM(AD17:AD93)</f>
        <v>4914</v>
      </c>
      <c r="AE94" s="195">
        <f t="shared" si="14"/>
        <v>1078752.51</v>
      </c>
      <c r="AF94" s="210">
        <f t="shared" si="14"/>
        <v>0</v>
      </c>
      <c r="AG94" s="195">
        <f t="shared" si="14"/>
        <v>0</v>
      </c>
      <c r="AH94" s="210">
        <f t="shared" si="14"/>
        <v>0</v>
      </c>
      <c r="AI94" s="195">
        <f t="shared" si="14"/>
        <v>0</v>
      </c>
      <c r="AJ94" s="210">
        <f t="shared" si="14"/>
        <v>7049</v>
      </c>
      <c r="AK94" s="175">
        <f t="shared" si="14"/>
        <v>1078752.51</v>
      </c>
      <c r="AL94" s="213">
        <f t="shared" si="14"/>
        <v>742</v>
      </c>
      <c r="AM94" s="214">
        <f t="shared" si="14"/>
        <v>175808.55000000005</v>
      </c>
      <c r="AN94" s="218">
        <f t="shared" si="14"/>
        <v>4312</v>
      </c>
      <c r="AO94" s="219">
        <f t="shared" si="14"/>
        <v>964298.99000000011</v>
      </c>
      <c r="AP94" s="286">
        <f t="shared" si="14"/>
        <v>0</v>
      </c>
      <c r="AQ94" s="287">
        <f t="shared" si="14"/>
        <v>0</v>
      </c>
      <c r="AR94" s="226" t="s">
        <v>156</v>
      </c>
      <c r="AS94" s="226">
        <f>SUM(AS17:AS93)</f>
        <v>0</v>
      </c>
      <c r="AT94" s="227">
        <f>SUM(AT17:AT93)</f>
        <v>8891</v>
      </c>
      <c r="AU94" s="228">
        <f>SUM(AU17:AU93)</f>
        <v>628781.37999999989</v>
      </c>
      <c r="AV94" s="510">
        <f>SUM(AV17:AV93)</f>
        <v>8891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80"/>
      <c r="AR102" s="255"/>
      <c r="AS102" s="255"/>
      <c r="AT102" s="580"/>
      <c r="AU102" s="580"/>
      <c r="AV102" s="580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80"/>
      <c r="AR103" s="255"/>
      <c r="AS103" s="255"/>
      <c r="AT103" s="580"/>
      <c r="AU103" s="580"/>
      <c r="AV103" s="580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1" zoomScale="70" zoomScaleSheetLayoutView="70" workbookViewId="0">
      <selection activeCell="AY14" sqref="AY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80"/>
      <c r="AR1" s="255"/>
      <c r="AS1" s="255"/>
      <c r="AT1" s="580"/>
      <c r="AU1" s="580"/>
      <c r="AV1" s="58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8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8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327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80"/>
      <c r="AR12" s="255"/>
      <c r="AS12" s="255"/>
      <c r="AT12" s="581"/>
      <c r="AU12" s="581"/>
      <c r="AV12" s="58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326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81"/>
      <c r="D16" s="748"/>
      <c r="E16" s="685"/>
      <c r="F16" s="685"/>
      <c r="G16" s="202"/>
      <c r="H16" s="201"/>
      <c r="I16" s="201"/>
      <c r="J16" s="241"/>
      <c r="K16" s="241"/>
      <c r="L16" s="241"/>
      <c r="M16" s="579" t="s">
        <v>77</v>
      </c>
      <c r="N16" s="579" t="s">
        <v>78</v>
      </c>
      <c r="O16" s="579" t="s">
        <v>77</v>
      </c>
      <c r="P16" s="579" t="s">
        <v>78</v>
      </c>
      <c r="Q16" s="579" t="s">
        <v>77</v>
      </c>
      <c r="R16" s="579" t="s">
        <v>78</v>
      </c>
      <c r="S16" s="579" t="s">
        <v>77</v>
      </c>
      <c r="T16" s="57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78" t="s">
        <v>77</v>
      </c>
      <c r="AE16" s="578" t="s">
        <v>78</v>
      </c>
      <c r="AF16" s="205" t="s">
        <v>77</v>
      </c>
      <c r="AG16" s="205" t="s">
        <v>78</v>
      </c>
      <c r="AH16" s="578" t="s">
        <v>77</v>
      </c>
      <c r="AI16" s="578" t="s">
        <v>78</v>
      </c>
      <c r="AJ16" s="207" t="s">
        <v>96</v>
      </c>
      <c r="AK16" s="96" t="s">
        <v>19</v>
      </c>
      <c r="AL16" s="576" t="s">
        <v>96</v>
      </c>
      <c r="AM16" s="576" t="s">
        <v>19</v>
      </c>
      <c r="AN16" s="216" t="s">
        <v>96</v>
      </c>
      <c r="AO16" s="216" t="s">
        <v>19</v>
      </c>
      <c r="AP16" s="207" t="s">
        <v>96</v>
      </c>
      <c r="AQ16" s="576" t="s">
        <v>96</v>
      </c>
      <c r="AR16" s="576" t="s">
        <v>107</v>
      </c>
      <c r="AS16" s="576" t="s">
        <v>19</v>
      </c>
      <c r="AT16" s="577" t="s">
        <v>96</v>
      </c>
      <c r="AU16" s="57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v>1</v>
      </c>
      <c r="AU18" s="228">
        <f t="shared" ref="AU18:AU93" si="4">AT18*AR18</f>
        <v>1026.1600000000001</v>
      </c>
      <c r="AV18" s="247">
        <f t="shared" ref="AV18:AV93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v>40</v>
      </c>
      <c r="AU31" s="228"/>
      <c r="AV31" s="279">
        <f t="shared" si="5"/>
        <v>40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v>39</v>
      </c>
      <c r="AU36" s="228"/>
      <c r="AV36" s="279">
        <f t="shared" si="5"/>
        <v>39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50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customHeight="1">
      <c r="A50" s="59"/>
      <c r="B50" s="60"/>
      <c r="C50" s="427"/>
      <c r="D50" s="428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27">
        <v>35</v>
      </c>
      <c r="AU50" s="386"/>
      <c r="AV50" s="279">
        <f t="shared" si="10"/>
        <v>35</v>
      </c>
    </row>
    <row r="51" spans="1:49" s="62" customFormat="1" ht="26.25" hidden="1" customHeight="1">
      <c r="A51" s="59"/>
      <c r="B51" s="60"/>
      <c r="C51" s="60"/>
      <c r="D51" s="22"/>
      <c r="E51" s="79"/>
      <c r="F51" s="51" t="s">
        <v>44</v>
      </c>
      <c r="G51" s="275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/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3"/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v>0</v>
      </c>
      <c r="AU51" s="386"/>
      <c r="AV51" s="233"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6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33">
        <f>160-140-20</f>
        <v>0</v>
      </c>
      <c r="AU54" s="386">
        <f t="shared" si="4"/>
        <v>0</v>
      </c>
      <c r="AV54" s="233">
        <f t="shared" si="5"/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6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v>255</v>
      </c>
      <c r="AU55" s="249">
        <f t="shared" si="4"/>
        <v>51555.9</v>
      </c>
      <c r="AV55" s="247">
        <f t="shared" si="5"/>
        <v>255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6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v>170</v>
      </c>
      <c r="AU57" s="228">
        <f t="shared" si="4"/>
        <v>34370.6</v>
      </c>
      <c r="AV57" s="247">
        <f t="shared" si="5"/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6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v>665</v>
      </c>
      <c r="AU58" s="249">
        <f t="shared" si="4"/>
        <v>134449.70000000001</v>
      </c>
      <c r="AV58" s="247">
        <f t="shared" si="5"/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6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6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33">
        <f>155-155</f>
        <v>0</v>
      </c>
      <c r="AU60" s="386">
        <f t="shared" si="4"/>
        <v>0</v>
      </c>
      <c r="AV60" s="233">
        <f t="shared" si="5"/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6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v>205</v>
      </c>
      <c r="AU61" s="249">
        <f t="shared" si="4"/>
        <v>41446.9</v>
      </c>
      <c r="AV61" s="247">
        <f t="shared" si="5"/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6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v>245</v>
      </c>
      <c r="AU62" s="228">
        <f t="shared" si="4"/>
        <v>49534.1</v>
      </c>
      <c r="AV62" s="247">
        <f t="shared" si="5"/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6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27">
        <f>555-60</f>
        <v>495</v>
      </c>
      <c r="AU63" s="228">
        <f t="shared" si="4"/>
        <v>100079.1</v>
      </c>
      <c r="AV63" s="279">
        <f t="shared" si="5"/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6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33">
        <f>45-45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6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33">
        <f>55-55</f>
        <v>0</v>
      </c>
      <c r="AU65" s="386">
        <f t="shared" si="4"/>
        <v>0</v>
      </c>
      <c r="AV65" s="233">
        <f t="shared" si="5"/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6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27">
        <v>210</v>
      </c>
      <c r="AU66" s="228">
        <f t="shared" si="4"/>
        <v>42457.8</v>
      </c>
      <c r="AV66" s="279">
        <f t="shared" si="5"/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6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27">
        <v>105</v>
      </c>
      <c r="AU67" s="228">
        <f t="shared" si="4"/>
        <v>21228.9</v>
      </c>
      <c r="AV67" s="279">
        <f t="shared" si="5"/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6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27">
        <v>30</v>
      </c>
      <c r="AU68" s="228">
        <f t="shared" si="4"/>
        <v>5880</v>
      </c>
      <c r="AV68" s="279">
        <f t="shared" si="5"/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27">
        <v>30</v>
      </c>
      <c r="AU69" s="228"/>
      <c r="AV69" s="279">
        <f t="shared" si="5"/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6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33">
        <f>18-18</f>
        <v>0</v>
      </c>
      <c r="AU73" s="386">
        <f t="shared" si="4"/>
        <v>0</v>
      </c>
      <c r="AV73" s="279">
        <f t="shared" si="5"/>
        <v>0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v>36</v>
      </c>
      <c r="AU74" s="386"/>
      <c r="AV74" s="279">
        <f>AT74</f>
        <v>36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v>234</v>
      </c>
      <c r="AU75" s="386"/>
      <c r="AV75" s="279">
        <f t="shared" si="5"/>
        <v>234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14</v>
      </c>
      <c r="AU76" s="386"/>
      <c r="AV76" s="279">
        <f t="shared" si="5"/>
        <v>14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27">
        <v>76</v>
      </c>
      <c r="AU77" s="386"/>
      <c r="AV77" s="279">
        <f t="shared" si="5"/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6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27">
        <v>108</v>
      </c>
      <c r="AU78" s="228">
        <f t="shared" si="4"/>
        <v>32389.199999999997</v>
      </c>
      <c r="AV78" s="279">
        <f t="shared" si="5"/>
        <v>108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368</v>
      </c>
      <c r="AU79" s="228"/>
      <c r="AV79" s="279">
        <f t="shared" si="5"/>
        <v>368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224</v>
      </c>
      <c r="AU80" s="228"/>
      <c r="AV80" s="279">
        <f t="shared" si="5"/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176</v>
      </c>
      <c r="AU81" s="228"/>
      <c r="AV81" s="279">
        <f t="shared" si="5"/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154</v>
      </c>
      <c r="AU82" s="228"/>
      <c r="AV82" s="279">
        <f t="shared" si="5"/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84</v>
      </c>
      <c r="AU83" s="228"/>
      <c r="AV83" s="279">
        <f t="shared" si="5"/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27">
        <v>48</v>
      </c>
      <c r="AU84" s="228"/>
      <c r="AV84" s="279">
        <f t="shared" si="5"/>
        <v>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</v>
      </c>
      <c r="AU85" s="228"/>
      <c r="AV85" s="279">
        <f t="shared" si="5"/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v>0</v>
      </c>
      <c r="AU86" s="386"/>
      <c r="AV86" s="233">
        <f t="shared" si="5"/>
        <v>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121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266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450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v>136</v>
      </c>
      <c r="AU87" s="228"/>
      <c r="AV87" s="279">
        <f t="shared" si="5"/>
        <v>136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v>610</v>
      </c>
      <c r="AU88" s="228"/>
      <c r="AV88" s="279">
        <f t="shared" si="5"/>
        <v>610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723</v>
      </c>
      <c r="AU89" s="228"/>
      <c r="AV89" s="279">
        <f t="shared" si="5"/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724</v>
      </c>
      <c r="AU90" s="228"/>
      <c r="AV90" s="279">
        <f t="shared" si="5"/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27">
        <v>726</v>
      </c>
      <c r="AU91" s="228"/>
      <c r="AV91" s="279">
        <f t="shared" si="5"/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1">J92*K92</f>
        <v>144</v>
      </c>
      <c r="N92" s="243">
        <f t="shared" ref="N92:N93" si="12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6"/>
        <v>774.48</v>
      </c>
      <c r="AL92" s="272">
        <v>0</v>
      </c>
      <c r="AM92" s="212">
        <v>0</v>
      </c>
      <c r="AN92" s="269">
        <v>14</v>
      </c>
      <c r="AO92" s="217">
        <f t="shared" ref="AO92:AO93" si="13">AC92+AK92-AM92</f>
        <v>774.48</v>
      </c>
      <c r="AP92" s="232"/>
      <c r="AQ92" s="229"/>
      <c r="AR92" s="212">
        <v>55.32</v>
      </c>
      <c r="AS92" s="212">
        <f t="shared" si="3"/>
        <v>0</v>
      </c>
      <c r="AT92" s="227">
        <v>10</v>
      </c>
      <c r="AU92" s="228">
        <f t="shared" si="4"/>
        <v>553.20000000000005</v>
      </c>
      <c r="AV92" s="279">
        <f t="shared" si="5"/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1"/>
        <v>0</v>
      </c>
      <c r="N93" s="243">
        <f t="shared" si="12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6"/>
        <v>1438.32</v>
      </c>
      <c r="AL93" s="272">
        <v>0</v>
      </c>
      <c r="AM93" s="212">
        <v>0</v>
      </c>
      <c r="AN93" s="269">
        <v>26</v>
      </c>
      <c r="AO93" s="217">
        <f t="shared" si="13"/>
        <v>1438.32</v>
      </c>
      <c r="AP93" s="232"/>
      <c r="AQ93" s="229"/>
      <c r="AR93" s="212">
        <v>55.32</v>
      </c>
      <c r="AS93" s="212">
        <f t="shared" si="3"/>
        <v>0</v>
      </c>
      <c r="AT93" s="227">
        <v>26</v>
      </c>
      <c r="AU93" s="228">
        <f t="shared" si="4"/>
        <v>1438.32</v>
      </c>
      <c r="AV93" s="279">
        <f t="shared" si="5"/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4">SUM(AD17:AD93)</f>
        <v>4914</v>
      </c>
      <c r="AE94" s="195">
        <f t="shared" si="14"/>
        <v>1078752.51</v>
      </c>
      <c r="AF94" s="210">
        <f t="shared" si="14"/>
        <v>0</v>
      </c>
      <c r="AG94" s="195">
        <f t="shared" si="14"/>
        <v>0</v>
      </c>
      <c r="AH94" s="210">
        <f t="shared" si="14"/>
        <v>0</v>
      </c>
      <c r="AI94" s="195">
        <f t="shared" si="14"/>
        <v>0</v>
      </c>
      <c r="AJ94" s="210">
        <f t="shared" si="14"/>
        <v>7049</v>
      </c>
      <c r="AK94" s="175">
        <f t="shared" si="14"/>
        <v>1078752.51</v>
      </c>
      <c r="AL94" s="213">
        <f t="shared" si="14"/>
        <v>742</v>
      </c>
      <c r="AM94" s="214">
        <f t="shared" si="14"/>
        <v>175808.55000000005</v>
      </c>
      <c r="AN94" s="218">
        <f t="shared" si="14"/>
        <v>4312</v>
      </c>
      <c r="AO94" s="219">
        <f t="shared" si="14"/>
        <v>964298.99000000011</v>
      </c>
      <c r="AP94" s="286">
        <f t="shared" si="14"/>
        <v>0</v>
      </c>
      <c r="AQ94" s="287">
        <f t="shared" si="14"/>
        <v>0</v>
      </c>
      <c r="AR94" s="226" t="s">
        <v>156</v>
      </c>
      <c r="AS94" s="226">
        <f>SUM(AS17:AS93)</f>
        <v>0</v>
      </c>
      <c r="AT94" s="227">
        <f>SUM(AT17:AT93)</f>
        <v>8891</v>
      </c>
      <c r="AU94" s="228">
        <f>SUM(AU17:AU93)</f>
        <v>628781.37999999989</v>
      </c>
      <c r="AV94" s="510">
        <f>SUM(AV17:AV93)</f>
        <v>8891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80"/>
      <c r="AR102" s="255"/>
      <c r="AS102" s="255"/>
      <c r="AT102" s="580"/>
      <c r="AU102" s="580"/>
      <c r="AV102" s="580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80"/>
      <c r="AR103" s="255"/>
      <c r="AS103" s="255"/>
      <c r="AT103" s="580"/>
      <c r="AU103" s="580"/>
      <c r="AV103" s="580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77" zoomScale="70" zoomScaleSheetLayoutView="70" workbookViewId="0">
      <selection activeCell="BE34" sqref="BE32:BE3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86"/>
      <c r="AR1" s="255"/>
      <c r="AS1" s="255"/>
      <c r="AT1" s="586"/>
      <c r="AU1" s="586"/>
      <c r="AV1" s="586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86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86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328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86"/>
      <c r="AR12" s="255"/>
      <c r="AS12" s="255"/>
      <c r="AT12" s="587"/>
      <c r="AU12" s="587"/>
      <c r="AV12" s="587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329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87"/>
      <c r="D16" s="748"/>
      <c r="E16" s="685"/>
      <c r="F16" s="685"/>
      <c r="G16" s="202"/>
      <c r="H16" s="201"/>
      <c r="I16" s="201"/>
      <c r="J16" s="241"/>
      <c r="K16" s="241"/>
      <c r="L16" s="241"/>
      <c r="M16" s="582" t="s">
        <v>77</v>
      </c>
      <c r="N16" s="582" t="s">
        <v>78</v>
      </c>
      <c r="O16" s="582" t="s">
        <v>77</v>
      </c>
      <c r="P16" s="582" t="s">
        <v>78</v>
      </c>
      <c r="Q16" s="582" t="s">
        <v>77</v>
      </c>
      <c r="R16" s="582" t="s">
        <v>78</v>
      </c>
      <c r="S16" s="582" t="s">
        <v>77</v>
      </c>
      <c r="T16" s="582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83" t="s">
        <v>77</v>
      </c>
      <c r="AE16" s="583" t="s">
        <v>78</v>
      </c>
      <c r="AF16" s="205" t="s">
        <v>77</v>
      </c>
      <c r="AG16" s="205" t="s">
        <v>78</v>
      </c>
      <c r="AH16" s="583" t="s">
        <v>77</v>
      </c>
      <c r="AI16" s="583" t="s">
        <v>78</v>
      </c>
      <c r="AJ16" s="207" t="s">
        <v>96</v>
      </c>
      <c r="AK16" s="96" t="s">
        <v>19</v>
      </c>
      <c r="AL16" s="584" t="s">
        <v>96</v>
      </c>
      <c r="AM16" s="584" t="s">
        <v>19</v>
      </c>
      <c r="AN16" s="216" t="s">
        <v>96</v>
      </c>
      <c r="AO16" s="216" t="s">
        <v>19</v>
      </c>
      <c r="AP16" s="207" t="s">
        <v>96</v>
      </c>
      <c r="AQ16" s="584" t="s">
        <v>96</v>
      </c>
      <c r="AR16" s="584" t="s">
        <v>107</v>
      </c>
      <c r="AS16" s="584" t="s">
        <v>19</v>
      </c>
      <c r="AT16" s="585" t="s">
        <v>96</v>
      </c>
      <c r="AU16" s="585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v>1</v>
      </c>
      <c r="AU18" s="228">
        <f t="shared" ref="AU18:AU93" si="4">AT18*AR18</f>
        <v>1026.1600000000001</v>
      </c>
      <c r="AV18" s="247">
        <f t="shared" ref="AV18:AV93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f>40-30</f>
        <v>10</v>
      </c>
      <c r="AU31" s="228"/>
      <c r="AV31" s="279">
        <f t="shared" si="5"/>
        <v>10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f>39-30</f>
        <v>9</v>
      </c>
      <c r="AU36" s="228"/>
      <c r="AV36" s="279">
        <f t="shared" si="5"/>
        <v>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50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customHeight="1">
      <c r="A50" s="59"/>
      <c r="B50" s="60"/>
      <c r="C50" s="427"/>
      <c r="D50" s="428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27">
        <v>35</v>
      </c>
      <c r="AU50" s="386"/>
      <c r="AV50" s="279">
        <f t="shared" si="10"/>
        <v>35</v>
      </c>
    </row>
    <row r="51" spans="1:49" s="62" customFormat="1" ht="26.25" hidden="1" customHeight="1">
      <c r="A51" s="59"/>
      <c r="B51" s="60"/>
      <c r="C51" s="60"/>
      <c r="D51" s="22"/>
      <c r="E51" s="79"/>
      <c r="F51" s="51" t="s">
        <v>44</v>
      </c>
      <c r="G51" s="275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/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3"/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v>0</v>
      </c>
      <c r="AU51" s="386"/>
      <c r="AV51" s="233">
        <v>0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6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33">
        <f>160-140-20</f>
        <v>0</v>
      </c>
      <c r="AU54" s="386">
        <f t="shared" si="4"/>
        <v>0</v>
      </c>
      <c r="AV54" s="233">
        <f t="shared" si="5"/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6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f>255-100</f>
        <v>155</v>
      </c>
      <c r="AU55" s="249">
        <f t="shared" si="4"/>
        <v>31337.9</v>
      </c>
      <c r="AV55" s="247">
        <f t="shared" si="5"/>
        <v>155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6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v>170</v>
      </c>
      <c r="AU57" s="228">
        <f t="shared" si="4"/>
        <v>34370.6</v>
      </c>
      <c r="AV57" s="247">
        <f t="shared" si="5"/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6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v>665</v>
      </c>
      <c r="AU58" s="249">
        <f t="shared" si="4"/>
        <v>134449.70000000001</v>
      </c>
      <c r="AV58" s="247">
        <f t="shared" si="5"/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6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6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33">
        <f>155-155</f>
        <v>0</v>
      </c>
      <c r="AU60" s="386">
        <f t="shared" si="4"/>
        <v>0</v>
      </c>
      <c r="AV60" s="233">
        <f t="shared" si="5"/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6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v>205</v>
      </c>
      <c r="AU61" s="249">
        <f t="shared" si="4"/>
        <v>41446.9</v>
      </c>
      <c r="AV61" s="247">
        <f t="shared" si="5"/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6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v>245</v>
      </c>
      <c r="AU62" s="228">
        <f t="shared" si="4"/>
        <v>49534.1</v>
      </c>
      <c r="AV62" s="247">
        <f t="shared" si="5"/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6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27">
        <f>555-60</f>
        <v>495</v>
      </c>
      <c r="AU63" s="228">
        <f t="shared" si="4"/>
        <v>100079.1</v>
      </c>
      <c r="AV63" s="279">
        <f t="shared" si="5"/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6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33">
        <f>45-45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6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33">
        <f>55-55</f>
        <v>0</v>
      </c>
      <c r="AU65" s="386">
        <f t="shared" si="4"/>
        <v>0</v>
      </c>
      <c r="AV65" s="233">
        <f t="shared" si="5"/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6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27">
        <v>210</v>
      </c>
      <c r="AU66" s="228">
        <f t="shared" si="4"/>
        <v>42457.8</v>
      </c>
      <c r="AV66" s="279">
        <f t="shared" si="5"/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6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27">
        <v>105</v>
      </c>
      <c r="AU67" s="228">
        <f t="shared" si="4"/>
        <v>21228.9</v>
      </c>
      <c r="AV67" s="279">
        <f t="shared" si="5"/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6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27">
        <v>30</v>
      </c>
      <c r="AU68" s="228">
        <f t="shared" si="4"/>
        <v>5880</v>
      </c>
      <c r="AV68" s="279">
        <f t="shared" si="5"/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27">
        <v>30</v>
      </c>
      <c r="AU69" s="228"/>
      <c r="AV69" s="279">
        <f t="shared" si="5"/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6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33">
        <f>18-18</f>
        <v>0</v>
      </c>
      <c r="AU73" s="386">
        <f t="shared" si="4"/>
        <v>0</v>
      </c>
      <c r="AV73" s="279">
        <f t="shared" si="5"/>
        <v>0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f>36-36</f>
        <v>0</v>
      </c>
      <c r="AU74" s="386"/>
      <c r="AV74" s="279">
        <f>AT74</f>
        <v>0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f>234-24</f>
        <v>210</v>
      </c>
      <c r="AU75" s="386"/>
      <c r="AV75" s="279">
        <f t="shared" si="5"/>
        <v>210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14</v>
      </c>
      <c r="AU76" s="386"/>
      <c r="AV76" s="279">
        <f t="shared" si="5"/>
        <v>14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27">
        <v>76</v>
      </c>
      <c r="AU77" s="386"/>
      <c r="AV77" s="279">
        <f t="shared" si="5"/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6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27">
        <f>108-60</f>
        <v>48</v>
      </c>
      <c r="AU78" s="228">
        <f t="shared" si="4"/>
        <v>14395.199999999999</v>
      </c>
      <c r="AV78" s="279">
        <f t="shared" si="5"/>
        <v>48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368</v>
      </c>
      <c r="AU79" s="228"/>
      <c r="AV79" s="279">
        <f t="shared" si="5"/>
        <v>368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224</v>
      </c>
      <c r="AU80" s="228"/>
      <c r="AV80" s="279">
        <f t="shared" si="5"/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176</v>
      </c>
      <c r="AU81" s="228"/>
      <c r="AV81" s="279">
        <f t="shared" si="5"/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154</v>
      </c>
      <c r="AU82" s="228"/>
      <c r="AV82" s="279">
        <f t="shared" si="5"/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84</v>
      </c>
      <c r="AU83" s="228"/>
      <c r="AV83" s="279">
        <f t="shared" si="5"/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27">
        <v>48</v>
      </c>
      <c r="AU84" s="228"/>
      <c r="AV84" s="279">
        <f t="shared" si="5"/>
        <v>48</v>
      </c>
    </row>
    <row r="85" spans="1:48" s="62" customFormat="1" ht="25.5" customHeight="1">
      <c r="A85" s="59"/>
      <c r="B85" s="60"/>
      <c r="C85" s="427"/>
      <c r="D85" s="428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</v>
      </c>
      <c r="AU85" s="228"/>
      <c r="AV85" s="279">
        <f t="shared" si="5"/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v>0</v>
      </c>
      <c r="AU86" s="386"/>
      <c r="AV86" s="233">
        <f t="shared" si="5"/>
        <v>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121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266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450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f>136-136</f>
        <v>0</v>
      </c>
      <c r="AU87" s="228"/>
      <c r="AV87" s="279">
        <f t="shared" si="5"/>
        <v>0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f>610-164</f>
        <v>446</v>
      </c>
      <c r="AU88" s="228"/>
      <c r="AV88" s="279">
        <f t="shared" si="5"/>
        <v>446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723</v>
      </c>
      <c r="AU89" s="228"/>
      <c r="AV89" s="279">
        <f t="shared" si="5"/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724</v>
      </c>
      <c r="AU90" s="228"/>
      <c r="AV90" s="279">
        <f t="shared" si="5"/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27">
        <v>726</v>
      </c>
      <c r="AU91" s="228"/>
      <c r="AV91" s="279">
        <f t="shared" si="5"/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1">J92*K92</f>
        <v>144</v>
      </c>
      <c r="N92" s="243">
        <f t="shared" ref="N92:N93" si="12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6"/>
        <v>774.48</v>
      </c>
      <c r="AL92" s="272">
        <v>0</v>
      </c>
      <c r="AM92" s="212">
        <v>0</v>
      </c>
      <c r="AN92" s="269">
        <v>14</v>
      </c>
      <c r="AO92" s="217">
        <f t="shared" ref="AO92:AO93" si="13">AC92+AK92-AM92</f>
        <v>774.48</v>
      </c>
      <c r="AP92" s="232"/>
      <c r="AQ92" s="229"/>
      <c r="AR92" s="212">
        <v>55.32</v>
      </c>
      <c r="AS92" s="212">
        <f t="shared" si="3"/>
        <v>0</v>
      </c>
      <c r="AT92" s="227">
        <v>10</v>
      </c>
      <c r="AU92" s="228">
        <f t="shared" si="4"/>
        <v>553.20000000000005</v>
      </c>
      <c r="AV92" s="279">
        <f t="shared" si="5"/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1"/>
        <v>0</v>
      </c>
      <c r="N93" s="243">
        <f t="shared" si="12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6"/>
        <v>1438.32</v>
      </c>
      <c r="AL93" s="272">
        <v>0</v>
      </c>
      <c r="AM93" s="212">
        <v>0</v>
      </c>
      <c r="AN93" s="269">
        <v>26</v>
      </c>
      <c r="AO93" s="217">
        <f t="shared" si="13"/>
        <v>1438.32</v>
      </c>
      <c r="AP93" s="232"/>
      <c r="AQ93" s="229"/>
      <c r="AR93" s="212">
        <v>55.32</v>
      </c>
      <c r="AS93" s="212">
        <f t="shared" si="3"/>
        <v>0</v>
      </c>
      <c r="AT93" s="227">
        <v>26</v>
      </c>
      <c r="AU93" s="228">
        <f t="shared" si="4"/>
        <v>1438.32</v>
      </c>
      <c r="AV93" s="279">
        <f t="shared" si="5"/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4">SUM(AD17:AD93)</f>
        <v>4914</v>
      </c>
      <c r="AE94" s="195">
        <f t="shared" si="14"/>
        <v>1078752.51</v>
      </c>
      <c r="AF94" s="210">
        <f t="shared" si="14"/>
        <v>0</v>
      </c>
      <c r="AG94" s="195">
        <f t="shared" si="14"/>
        <v>0</v>
      </c>
      <c r="AH94" s="210">
        <f t="shared" si="14"/>
        <v>0</v>
      </c>
      <c r="AI94" s="195">
        <f t="shared" si="14"/>
        <v>0</v>
      </c>
      <c r="AJ94" s="210">
        <f t="shared" si="14"/>
        <v>7049</v>
      </c>
      <c r="AK94" s="175">
        <f t="shared" si="14"/>
        <v>1078752.51</v>
      </c>
      <c r="AL94" s="213">
        <f t="shared" si="14"/>
        <v>742</v>
      </c>
      <c r="AM94" s="214">
        <f t="shared" si="14"/>
        <v>175808.55000000005</v>
      </c>
      <c r="AN94" s="218">
        <f t="shared" si="14"/>
        <v>4312</v>
      </c>
      <c r="AO94" s="219">
        <f t="shared" si="14"/>
        <v>964298.99000000011</v>
      </c>
      <c r="AP94" s="286">
        <f t="shared" si="14"/>
        <v>0</v>
      </c>
      <c r="AQ94" s="287">
        <f t="shared" si="14"/>
        <v>0</v>
      </c>
      <c r="AR94" s="226" t="s">
        <v>156</v>
      </c>
      <c r="AS94" s="226">
        <f>SUM(AS17:AS93)</f>
        <v>0</v>
      </c>
      <c r="AT94" s="227">
        <f>SUM(AT17:AT93)</f>
        <v>8311</v>
      </c>
      <c r="AU94" s="228">
        <f>SUM(AU17:AU93)</f>
        <v>590569.37999999989</v>
      </c>
      <c r="AV94" s="510">
        <f>SUM(AV17:AV93)</f>
        <v>8311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86"/>
      <c r="AR102" s="255"/>
      <c r="AS102" s="255"/>
      <c r="AT102" s="586"/>
      <c r="AU102" s="586"/>
      <c r="AV102" s="586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86"/>
      <c r="AR103" s="255"/>
      <c r="AS103" s="255"/>
      <c r="AT103" s="586"/>
      <c r="AU103" s="586"/>
      <c r="AV103" s="586"/>
    </row>
  </sheetData>
  <mergeCells count="40">
    <mergeCell ref="D11:AV11"/>
    <mergeCell ref="E6:AT6"/>
    <mergeCell ref="D7:AV7"/>
    <mergeCell ref="D8:AV8"/>
    <mergeCell ref="D9:AV9"/>
    <mergeCell ref="D10:AV10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28" zoomScale="70" zoomScaleSheetLayoutView="70" workbookViewId="0">
      <selection activeCell="G55" sqref="G55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92"/>
      <c r="AR1" s="255"/>
      <c r="AS1" s="255"/>
      <c r="AT1" s="592"/>
      <c r="AU1" s="592"/>
      <c r="AV1" s="59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9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9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330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92"/>
      <c r="AR12" s="255"/>
      <c r="AS12" s="255"/>
      <c r="AT12" s="593"/>
      <c r="AU12" s="593"/>
      <c r="AV12" s="59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331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93"/>
      <c r="D16" s="748"/>
      <c r="E16" s="685"/>
      <c r="F16" s="685"/>
      <c r="G16" s="202"/>
      <c r="H16" s="201"/>
      <c r="I16" s="201"/>
      <c r="J16" s="241"/>
      <c r="K16" s="241"/>
      <c r="L16" s="241"/>
      <c r="M16" s="591" t="s">
        <v>77</v>
      </c>
      <c r="N16" s="591" t="s">
        <v>78</v>
      </c>
      <c r="O16" s="591" t="s">
        <v>77</v>
      </c>
      <c r="P16" s="591" t="s">
        <v>78</v>
      </c>
      <c r="Q16" s="591" t="s">
        <v>77</v>
      </c>
      <c r="R16" s="591" t="s">
        <v>78</v>
      </c>
      <c r="S16" s="591" t="s">
        <v>77</v>
      </c>
      <c r="T16" s="59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90" t="s">
        <v>77</v>
      </c>
      <c r="AE16" s="590" t="s">
        <v>78</v>
      </c>
      <c r="AF16" s="205" t="s">
        <v>77</v>
      </c>
      <c r="AG16" s="205" t="s">
        <v>78</v>
      </c>
      <c r="AH16" s="590" t="s">
        <v>77</v>
      </c>
      <c r="AI16" s="590" t="s">
        <v>78</v>
      </c>
      <c r="AJ16" s="207" t="s">
        <v>96</v>
      </c>
      <c r="AK16" s="96" t="s">
        <v>19</v>
      </c>
      <c r="AL16" s="588" t="s">
        <v>96</v>
      </c>
      <c r="AM16" s="588" t="s">
        <v>19</v>
      </c>
      <c r="AN16" s="216" t="s">
        <v>96</v>
      </c>
      <c r="AO16" s="216" t="s">
        <v>19</v>
      </c>
      <c r="AP16" s="207" t="s">
        <v>96</v>
      </c>
      <c r="AQ16" s="588" t="s">
        <v>96</v>
      </c>
      <c r="AR16" s="588" t="s">
        <v>107</v>
      </c>
      <c r="AS16" s="588" t="s">
        <v>19</v>
      </c>
      <c r="AT16" s="589" t="s">
        <v>96</v>
      </c>
      <c r="AU16" s="589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v>1</v>
      </c>
      <c r="AU18" s="228">
        <f t="shared" ref="AU18:AU93" si="4">AT18*AR18</f>
        <v>1026.1600000000001</v>
      </c>
      <c r="AV18" s="247">
        <f t="shared" ref="AV18:AV93" si="5">AT18</f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6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v>1</v>
      </c>
      <c r="AU19" s="228">
        <f t="shared" si="4"/>
        <v>1026.1600000000001</v>
      </c>
      <c r="AV19" s="247">
        <f t="shared" si="5"/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v>2</v>
      </c>
      <c r="AU20" s="228">
        <f>AT20*AR20</f>
        <v>4040.8</v>
      </c>
      <c r="AV20" s="247">
        <f>AT20</f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v>4</v>
      </c>
      <c r="AU21" s="228">
        <f>AT21*AR21</f>
        <v>8081.6</v>
      </c>
      <c r="AV21" s="247">
        <f>AT21</f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6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1</v>
      </c>
      <c r="AU22" s="228">
        <f t="shared" si="4"/>
        <v>2094.4</v>
      </c>
      <c r="AV22" s="247">
        <f t="shared" si="5"/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6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1</v>
      </c>
      <c r="AU23" s="228">
        <f t="shared" si="4"/>
        <v>2094.4</v>
      </c>
      <c r="AV23" s="247">
        <f t="shared" si="5"/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v>4</v>
      </c>
      <c r="AU24" s="249">
        <f>AT24*AR24</f>
        <v>9062.24</v>
      </c>
      <c r="AV24" s="247">
        <f>AT24</f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2</v>
      </c>
      <c r="AU25" s="249">
        <f>AT25*AR25</f>
        <v>4531.12</v>
      </c>
      <c r="AV25" s="247">
        <f>AT25</f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6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27">
        <f>5-1-1-2</f>
        <v>1</v>
      </c>
      <c r="AU26" s="228">
        <f t="shared" si="4"/>
        <v>786.9</v>
      </c>
      <c r="AV26" s="279">
        <f t="shared" si="5"/>
        <v>1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27">
        <v>6</v>
      </c>
      <c r="AU27" s="228">
        <f>AT27*AR27</f>
        <v>4549.08</v>
      </c>
      <c r="AV27" s="279">
        <f>AT27</f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27">
        <v>10</v>
      </c>
      <c r="AU28" s="228">
        <f t="shared" ref="AU28" si="8">AT28*AR28</f>
        <v>7581.7999999999993</v>
      </c>
      <c r="AV28" s="279">
        <f t="shared" ref="AV28" si="9">AT28</f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27"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6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v>0</v>
      </c>
      <c r="AU30" s="386">
        <f t="shared" si="4"/>
        <v>0</v>
      </c>
      <c r="AV30" s="233">
        <f t="shared" si="5"/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27">
        <f>40-30</f>
        <v>10</v>
      </c>
      <c r="AU31" s="228"/>
      <c r="AV31" s="279">
        <f t="shared" si="5"/>
        <v>10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27">
        <v>482</v>
      </c>
      <c r="AU32" s="228"/>
      <c r="AV32" s="279">
        <f t="shared" si="5"/>
        <v>482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27">
        <v>46</v>
      </c>
      <c r="AU33" s="228"/>
      <c r="AV33" s="279">
        <f t="shared" si="5"/>
        <v>46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27">
        <v>148</v>
      </c>
      <c r="AU34" s="228"/>
      <c r="AV34" s="279">
        <f t="shared" si="5"/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6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v>0</v>
      </c>
      <c r="AU35" s="386">
        <f t="shared" si="4"/>
        <v>0</v>
      </c>
      <c r="AV35" s="233">
        <f t="shared" si="5"/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27">
        <f>39-30</f>
        <v>9</v>
      </c>
      <c r="AU36" s="228"/>
      <c r="AV36" s="279">
        <f t="shared" si="5"/>
        <v>9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27">
        <v>482</v>
      </c>
      <c r="AU37" s="228"/>
      <c r="AV37" s="279">
        <f t="shared" si="5"/>
        <v>482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27">
        <v>46</v>
      </c>
      <c r="AU38" s="228"/>
      <c r="AV38" s="279">
        <f t="shared" si="5"/>
        <v>46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27">
        <v>148</v>
      </c>
      <c r="AU39" s="228"/>
      <c r="AV39" s="279">
        <f t="shared" si="5"/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27">
        <v>50</v>
      </c>
      <c r="AU40" s="228"/>
      <c r="AV40" s="279">
        <f t="shared" si="5"/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27">
        <v>40</v>
      </c>
      <c r="AU41" s="228"/>
      <c r="AV41" s="279">
        <f t="shared" si="5"/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27">
        <v>45</v>
      </c>
      <c r="AU42" s="228"/>
      <c r="AV42" s="279">
        <f t="shared" si="5"/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27">
        <v>25</v>
      </c>
      <c r="AU43" s="228"/>
      <c r="AV43" s="279">
        <f t="shared" si="5"/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27">
        <v>5</v>
      </c>
      <c r="AU44" s="228"/>
      <c r="AV44" s="279">
        <f>AT44</f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27">
        <v>35</v>
      </c>
      <c r="AU45" s="228"/>
      <c r="AV45" s="279">
        <f t="shared" si="5"/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27">
        <v>140</v>
      </c>
      <c r="AU46" s="386">
        <f>AT46*AR46</f>
        <v>68523</v>
      </c>
      <c r="AV46" s="279">
        <f>AT46</f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6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33">
        <f>55-15-40</f>
        <v>0</v>
      </c>
      <c r="AU47" s="386">
        <f t="shared" si="4"/>
        <v>0</v>
      </c>
      <c r="AV47" s="279">
        <f t="shared" ref="AV47:AV51" si="10">AT47</f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27">
        <v>50</v>
      </c>
      <c r="AU48" s="386"/>
      <c r="AV48" s="279">
        <f t="shared" si="10"/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27">
        <v>75</v>
      </c>
      <c r="AU49" s="386"/>
      <c r="AV49" s="279">
        <f t="shared" si="10"/>
        <v>75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27">
        <v>35</v>
      </c>
      <c r="AU50" s="386"/>
      <c r="AV50" s="279">
        <f t="shared" si="10"/>
        <v>35</v>
      </c>
    </row>
    <row r="51" spans="1:49" s="62" customFormat="1" ht="26.25" customHeight="1">
      <c r="A51" s="59"/>
      <c r="B51" s="60"/>
      <c r="C51" s="427"/>
      <c r="D51" s="428"/>
      <c r="E51" s="79"/>
      <c r="F51" s="177" t="s">
        <v>44</v>
      </c>
      <c r="G51" s="222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332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475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27">
        <v>475</v>
      </c>
      <c r="AU51" s="386"/>
      <c r="AV51" s="279">
        <f t="shared" si="10"/>
        <v>475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6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08">
        <v>0</v>
      </c>
      <c r="AU52" s="170">
        <f t="shared" si="4"/>
        <v>0</v>
      </c>
      <c r="AV52" s="233">
        <f t="shared" si="5"/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6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33">
        <v>0</v>
      </c>
      <c r="AU53" s="386">
        <f t="shared" si="4"/>
        <v>0</v>
      </c>
      <c r="AV53" s="233">
        <f t="shared" si="5"/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6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33">
        <f>160-140-20</f>
        <v>0</v>
      </c>
      <c r="AU54" s="386">
        <f t="shared" si="4"/>
        <v>0</v>
      </c>
      <c r="AV54" s="233">
        <f t="shared" si="5"/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6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f>255-100</f>
        <v>155</v>
      </c>
      <c r="AU55" s="249">
        <f t="shared" si="4"/>
        <v>31337.9</v>
      </c>
      <c r="AV55" s="247">
        <f t="shared" si="5"/>
        <v>155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6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33"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6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v>170</v>
      </c>
      <c r="AU57" s="228">
        <f t="shared" si="4"/>
        <v>34370.6</v>
      </c>
      <c r="AV57" s="247">
        <f t="shared" si="5"/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6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v>665</v>
      </c>
      <c r="AU58" s="249">
        <f t="shared" si="4"/>
        <v>134449.70000000001</v>
      </c>
      <c r="AV58" s="247">
        <f t="shared" si="5"/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6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33">
        <f>155-155</f>
        <v>0</v>
      </c>
      <c r="AU59" s="386">
        <f t="shared" si="4"/>
        <v>0</v>
      </c>
      <c r="AV59" s="233">
        <f t="shared" si="5"/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6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33">
        <f>155-155</f>
        <v>0</v>
      </c>
      <c r="AU60" s="386">
        <f t="shared" si="4"/>
        <v>0</v>
      </c>
      <c r="AV60" s="233">
        <f t="shared" si="5"/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6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v>205</v>
      </c>
      <c r="AU61" s="249">
        <f t="shared" si="4"/>
        <v>41446.9</v>
      </c>
      <c r="AV61" s="247">
        <f t="shared" si="5"/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6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v>245</v>
      </c>
      <c r="AU62" s="228">
        <f t="shared" si="4"/>
        <v>49534.1</v>
      </c>
      <c r="AV62" s="247">
        <f t="shared" si="5"/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6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27">
        <f>555-60</f>
        <v>495</v>
      </c>
      <c r="AU63" s="228">
        <f t="shared" si="4"/>
        <v>100079.1</v>
      </c>
      <c r="AV63" s="279">
        <f t="shared" si="5"/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6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33">
        <f>45-45</f>
        <v>0</v>
      </c>
      <c r="AU64" s="386">
        <f t="shared" si="4"/>
        <v>0</v>
      </c>
      <c r="AV64" s="233">
        <f t="shared" si="5"/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6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33">
        <f>55-55</f>
        <v>0</v>
      </c>
      <c r="AU65" s="386">
        <f t="shared" si="4"/>
        <v>0</v>
      </c>
      <c r="AV65" s="233">
        <f t="shared" si="5"/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6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27">
        <v>210</v>
      </c>
      <c r="AU66" s="228">
        <f t="shared" si="4"/>
        <v>42457.8</v>
      </c>
      <c r="AV66" s="279">
        <f t="shared" si="5"/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6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27">
        <v>105</v>
      </c>
      <c r="AU67" s="228">
        <f t="shared" si="4"/>
        <v>21228.9</v>
      </c>
      <c r="AV67" s="279">
        <f t="shared" si="5"/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6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27">
        <v>30</v>
      </c>
      <c r="AU68" s="228">
        <f t="shared" si="4"/>
        <v>5880</v>
      </c>
      <c r="AV68" s="279">
        <f t="shared" si="5"/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27">
        <v>30</v>
      </c>
      <c r="AU69" s="228"/>
      <c r="AV69" s="279">
        <f t="shared" si="5"/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6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08">
        <v>0</v>
      </c>
      <c r="AU70" s="170">
        <f t="shared" si="4"/>
        <v>0</v>
      </c>
      <c r="AV70" s="233">
        <f t="shared" si="5"/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6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v>0</v>
      </c>
      <c r="AU71" s="170">
        <f t="shared" si="4"/>
        <v>0</v>
      </c>
      <c r="AV71" s="233">
        <f t="shared" si="5"/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6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v>0</v>
      </c>
      <c r="AU72" s="170">
        <f t="shared" si="4"/>
        <v>0</v>
      </c>
      <c r="AV72" s="233">
        <f t="shared" si="5"/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6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33">
        <f>18-18</f>
        <v>0</v>
      </c>
      <c r="AU73" s="386">
        <f t="shared" si="4"/>
        <v>0</v>
      </c>
      <c r="AV73" s="279">
        <f t="shared" si="5"/>
        <v>0</v>
      </c>
    </row>
    <row r="74" spans="1:48" s="62" customFormat="1" ht="25.5" customHeight="1">
      <c r="A74" s="59"/>
      <c r="B74" s="60"/>
      <c r="C74" s="60"/>
      <c r="D74" s="22"/>
      <c r="E74" s="79"/>
      <c r="F74" s="140" t="s">
        <v>55</v>
      </c>
      <c r="G74" s="222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03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2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27">
        <f>36-36</f>
        <v>0</v>
      </c>
      <c r="AU74" s="386"/>
      <c r="AV74" s="279">
        <f>AT74</f>
        <v>0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27">
        <f>234-24</f>
        <v>210</v>
      </c>
      <c r="AU75" s="386"/>
      <c r="AV75" s="279">
        <f t="shared" si="5"/>
        <v>210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27">
        <v>14</v>
      </c>
      <c r="AU76" s="386"/>
      <c r="AV76" s="279">
        <f t="shared" si="5"/>
        <v>14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27">
        <v>76</v>
      </c>
      <c r="AU77" s="386"/>
      <c r="AV77" s="279">
        <f t="shared" si="5"/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6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27">
        <f>108-60</f>
        <v>48</v>
      </c>
      <c r="AU78" s="228">
        <f t="shared" si="4"/>
        <v>14395.199999999999</v>
      </c>
      <c r="AV78" s="279">
        <f t="shared" si="5"/>
        <v>48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27">
        <v>368</v>
      </c>
      <c r="AU79" s="228"/>
      <c r="AV79" s="279">
        <f t="shared" si="5"/>
        <v>368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27">
        <v>224</v>
      </c>
      <c r="AU80" s="228"/>
      <c r="AV80" s="279">
        <f t="shared" si="5"/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27">
        <v>176</v>
      </c>
      <c r="AU81" s="228"/>
      <c r="AV81" s="279">
        <f t="shared" si="5"/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27">
        <v>154</v>
      </c>
      <c r="AU82" s="228"/>
      <c r="AV82" s="279">
        <f t="shared" si="5"/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27">
        <v>84</v>
      </c>
      <c r="AU83" s="228"/>
      <c r="AV83" s="279">
        <f t="shared" si="5"/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27">
        <v>48</v>
      </c>
      <c r="AU84" s="228"/>
      <c r="AV84" s="279">
        <f t="shared" si="5"/>
        <v>48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27">
        <v>36</v>
      </c>
      <c r="AU85" s="228"/>
      <c r="AV85" s="279">
        <f t="shared" si="5"/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v>0</v>
      </c>
      <c r="AU86" s="386"/>
      <c r="AV86" s="233">
        <f t="shared" si="5"/>
        <v>0</v>
      </c>
    </row>
    <row r="87" spans="1:48" s="62" customFormat="1" ht="31.5">
      <c r="A87" s="59"/>
      <c r="B87" s="60"/>
      <c r="C87" s="60"/>
      <c r="D87" s="22"/>
      <c r="E87" s="79"/>
      <c r="F87" s="150" t="s">
        <v>57</v>
      </c>
      <c r="G87" s="222" t="s">
        <v>121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266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450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27">
        <f>136-136</f>
        <v>0</v>
      </c>
      <c r="AU87" s="228"/>
      <c r="AV87" s="279">
        <f t="shared" si="5"/>
        <v>0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27">
        <f>610-164</f>
        <v>446</v>
      </c>
      <c r="AU88" s="228"/>
      <c r="AV88" s="279">
        <f t="shared" si="5"/>
        <v>446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27">
        <v>723</v>
      </c>
      <c r="AU89" s="228"/>
      <c r="AV89" s="279">
        <f t="shared" si="5"/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27">
        <v>724</v>
      </c>
      <c r="AU90" s="228"/>
      <c r="AV90" s="279">
        <f t="shared" si="5"/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27">
        <v>726</v>
      </c>
      <c r="AU91" s="228"/>
      <c r="AV91" s="279">
        <f t="shared" si="5"/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1">J92*K92</f>
        <v>144</v>
      </c>
      <c r="N92" s="243">
        <f t="shared" ref="N92:N93" si="12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6"/>
        <v>774.48</v>
      </c>
      <c r="AL92" s="272">
        <v>0</v>
      </c>
      <c r="AM92" s="212">
        <v>0</v>
      </c>
      <c r="AN92" s="269">
        <v>14</v>
      </c>
      <c r="AO92" s="217">
        <f t="shared" ref="AO92:AO93" si="13">AC92+AK92-AM92</f>
        <v>774.48</v>
      </c>
      <c r="AP92" s="232"/>
      <c r="AQ92" s="229"/>
      <c r="AR92" s="212">
        <v>55.32</v>
      </c>
      <c r="AS92" s="212">
        <f t="shared" si="3"/>
        <v>0</v>
      </c>
      <c r="AT92" s="227">
        <v>10</v>
      </c>
      <c r="AU92" s="228">
        <f t="shared" si="4"/>
        <v>553.20000000000005</v>
      </c>
      <c r="AV92" s="279">
        <f t="shared" si="5"/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1"/>
        <v>0</v>
      </c>
      <c r="N93" s="243">
        <f t="shared" si="12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6"/>
        <v>1438.32</v>
      </c>
      <c r="AL93" s="272">
        <v>0</v>
      </c>
      <c r="AM93" s="212">
        <v>0</v>
      </c>
      <c r="AN93" s="269">
        <v>26</v>
      </c>
      <c r="AO93" s="217">
        <f t="shared" si="13"/>
        <v>1438.32</v>
      </c>
      <c r="AP93" s="232"/>
      <c r="AQ93" s="229"/>
      <c r="AR93" s="212">
        <v>55.32</v>
      </c>
      <c r="AS93" s="212">
        <f t="shared" si="3"/>
        <v>0</v>
      </c>
      <c r="AT93" s="227">
        <v>26</v>
      </c>
      <c r="AU93" s="228">
        <f t="shared" si="4"/>
        <v>1438.32</v>
      </c>
      <c r="AV93" s="279">
        <f t="shared" si="5"/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4">SUM(AD17:AD93)</f>
        <v>4914</v>
      </c>
      <c r="AE94" s="195">
        <f t="shared" si="14"/>
        <v>1078752.51</v>
      </c>
      <c r="AF94" s="210">
        <f t="shared" si="14"/>
        <v>0</v>
      </c>
      <c r="AG94" s="195">
        <f t="shared" si="14"/>
        <v>0</v>
      </c>
      <c r="AH94" s="210">
        <f t="shared" si="14"/>
        <v>0</v>
      </c>
      <c r="AI94" s="195">
        <f t="shared" si="14"/>
        <v>0</v>
      </c>
      <c r="AJ94" s="210">
        <f t="shared" si="14"/>
        <v>7524</v>
      </c>
      <c r="AK94" s="175">
        <f t="shared" si="14"/>
        <v>1078752.51</v>
      </c>
      <c r="AL94" s="213">
        <f t="shared" si="14"/>
        <v>742</v>
      </c>
      <c r="AM94" s="214">
        <f t="shared" si="14"/>
        <v>175808.55000000005</v>
      </c>
      <c r="AN94" s="218">
        <f t="shared" si="14"/>
        <v>4312</v>
      </c>
      <c r="AO94" s="219">
        <f t="shared" si="14"/>
        <v>964298.99000000011</v>
      </c>
      <c r="AP94" s="286">
        <f t="shared" si="14"/>
        <v>0</v>
      </c>
      <c r="AQ94" s="287">
        <f t="shared" si="14"/>
        <v>0</v>
      </c>
      <c r="AR94" s="226" t="s">
        <v>156</v>
      </c>
      <c r="AS94" s="226">
        <f>SUM(AS17:AS93)</f>
        <v>0</v>
      </c>
      <c r="AT94" s="227">
        <f>SUM(AT17:AT93)</f>
        <v>8786</v>
      </c>
      <c r="AU94" s="228">
        <f>SUM(AU17:AU93)</f>
        <v>590569.37999999989</v>
      </c>
      <c r="AV94" s="510">
        <f>SUM(AV17:AV93)</f>
        <v>8786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92"/>
      <c r="AR102" s="255"/>
      <c r="AS102" s="255"/>
      <c r="AT102" s="592"/>
      <c r="AU102" s="592"/>
      <c r="AV102" s="592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92"/>
      <c r="AR103" s="255"/>
      <c r="AS103" s="255"/>
      <c r="AT103" s="592"/>
      <c r="AU103" s="592"/>
      <c r="AV103" s="592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3"/>
  <sheetViews>
    <sheetView view="pageBreakPreview" topLeftCell="C83" zoomScale="70" zoomScaleSheetLayoutView="70" workbookViewId="0">
      <selection activeCell="AV105" sqref="AV105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598"/>
      <c r="AR1" s="255"/>
      <c r="AS1" s="255"/>
      <c r="AT1" s="598"/>
      <c r="AU1" s="598"/>
      <c r="AV1" s="59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59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59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334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598"/>
      <c r="AR12" s="255"/>
      <c r="AS12" s="255"/>
      <c r="AT12" s="599"/>
      <c r="AU12" s="599"/>
      <c r="AV12" s="59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333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599"/>
      <c r="D16" s="748"/>
      <c r="E16" s="685"/>
      <c r="F16" s="685"/>
      <c r="G16" s="202"/>
      <c r="H16" s="201"/>
      <c r="I16" s="201"/>
      <c r="J16" s="241"/>
      <c r="K16" s="241"/>
      <c r="L16" s="241"/>
      <c r="M16" s="594" t="s">
        <v>77</v>
      </c>
      <c r="N16" s="594" t="s">
        <v>78</v>
      </c>
      <c r="O16" s="594" t="s">
        <v>77</v>
      </c>
      <c r="P16" s="594" t="s">
        <v>78</v>
      </c>
      <c r="Q16" s="594" t="s">
        <v>77</v>
      </c>
      <c r="R16" s="594" t="s">
        <v>78</v>
      </c>
      <c r="S16" s="594" t="s">
        <v>77</v>
      </c>
      <c r="T16" s="59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595" t="s">
        <v>77</v>
      </c>
      <c r="AE16" s="595" t="s">
        <v>78</v>
      </c>
      <c r="AF16" s="205" t="s">
        <v>77</v>
      </c>
      <c r="AG16" s="205" t="s">
        <v>78</v>
      </c>
      <c r="AH16" s="595" t="s">
        <v>77</v>
      </c>
      <c r="AI16" s="595" t="s">
        <v>78</v>
      </c>
      <c r="AJ16" s="207" t="s">
        <v>96</v>
      </c>
      <c r="AK16" s="96" t="s">
        <v>19</v>
      </c>
      <c r="AL16" s="596" t="s">
        <v>96</v>
      </c>
      <c r="AM16" s="596" t="s">
        <v>19</v>
      </c>
      <c r="AN16" s="216" t="s">
        <v>96</v>
      </c>
      <c r="AO16" s="216" t="s">
        <v>19</v>
      </c>
      <c r="AP16" s="207" t="s">
        <v>96</v>
      </c>
      <c r="AQ16" s="596" t="s">
        <v>96</v>
      </c>
      <c r="AR16" s="596" t="s">
        <v>107</v>
      </c>
      <c r="AS16" s="596" t="s">
        <v>19</v>
      </c>
      <c r="AT16" s="597" t="s">
        <v>96</v>
      </c>
      <c r="AU16" s="59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78" si="0">J18*K18</f>
        <v>0</v>
      </c>
      <c r="N18" s="243">
        <f t="shared" ref="N18:N78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78" si="2">AC18+AK18-AM18</f>
        <v>1026.1600000000001</v>
      </c>
      <c r="AP18" s="232"/>
      <c r="AQ18" s="229"/>
      <c r="AR18" s="212">
        <v>1026.1600000000001</v>
      </c>
      <c r="AS18" s="212">
        <f t="shared" ref="AS18:AS93" si="3">AQ18*AR18</f>
        <v>0</v>
      </c>
      <c r="AT18" s="247">
        <f>AV18</f>
        <v>1</v>
      </c>
      <c r="AU18" s="228">
        <f t="shared" ref="AU18:AU93" si="4">AT18*AR18</f>
        <v>1026.1600000000001</v>
      </c>
      <c r="AV18" s="247"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3" si="5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f t="shared" ref="AT19:AT82" si="6">AV19</f>
        <v>1</v>
      </c>
      <c r="AU19" s="228">
        <f t="shared" si="4"/>
        <v>1026.1600000000001</v>
      </c>
      <c r="AV19" s="247"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f t="shared" si="6"/>
        <v>1</v>
      </c>
      <c r="AU22" s="228">
        <f t="shared" si="4"/>
        <v>2094.4</v>
      </c>
      <c r="AV22" s="247"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f t="shared" si="6"/>
        <v>1</v>
      </c>
      <c r="AU23" s="228">
        <f t="shared" si="4"/>
        <v>2094.4</v>
      </c>
      <c r="AV23" s="247"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f t="shared" si="6"/>
        <v>4</v>
      </c>
      <c r="AU24" s="249">
        <f>AT24*AR24</f>
        <v>9062.24</v>
      </c>
      <c r="AV24" s="247"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f t="shared" si="6"/>
        <v>2</v>
      </c>
      <c r="AU25" s="249">
        <f>AT25*AR25</f>
        <v>4531.12</v>
      </c>
      <c r="AV25" s="247"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6</v>
      </c>
      <c r="AU27" s="228">
        <f>AT27*AR27</f>
        <v>4549.08</v>
      </c>
      <c r="AV27" s="279"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47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47">
        <f t="shared" si="6"/>
        <v>0</v>
      </c>
      <c r="AU31" s="228"/>
      <c r="AV31" s="279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478</v>
      </c>
      <c r="AU32" s="228"/>
      <c r="AV32" s="279">
        <v>478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47">
        <f t="shared" si="6"/>
        <v>0</v>
      </c>
      <c r="AU33" s="228"/>
      <c r="AV33" s="279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148</v>
      </c>
      <c r="AU34" s="228"/>
      <c r="AV34" s="279"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477</v>
      </c>
      <c r="AU37" s="228"/>
      <c r="AV37" s="279">
        <v>477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47">
        <f t="shared" si="6"/>
        <v>0</v>
      </c>
      <c r="AU38" s="228"/>
      <c r="AV38" s="279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148</v>
      </c>
      <c r="AU39" s="228"/>
      <c r="AV39" s="279"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50</v>
      </c>
      <c r="AU40" s="228"/>
      <c r="AV40" s="279"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40</v>
      </c>
      <c r="AU41" s="228"/>
      <c r="AV41" s="279"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45</v>
      </c>
      <c r="AU42" s="228"/>
      <c r="AV42" s="279"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4" customHeight="1">
      <c r="A46" s="59"/>
      <c r="B46" s="60"/>
      <c r="C46" s="60"/>
      <c r="D46" s="22"/>
      <c r="E46" s="79" t="s">
        <v>24</v>
      </c>
      <c r="F46" s="485" t="s">
        <v>269</v>
      </c>
      <c r="G46" s="222" t="s">
        <v>152</v>
      </c>
      <c r="H46" s="115" t="s">
        <v>91</v>
      </c>
      <c r="I46" s="115" t="s">
        <v>91</v>
      </c>
      <c r="J46" s="115"/>
      <c r="K46" s="115"/>
      <c r="L46" s="276"/>
      <c r="M46" s="277">
        <f>J46*K46</f>
        <v>0</v>
      </c>
      <c r="N46" s="276">
        <f>L46*M46</f>
        <v>0</v>
      </c>
      <c r="O46" s="115"/>
      <c r="P46" s="276"/>
      <c r="Q46" s="115"/>
      <c r="R46" s="276"/>
      <c r="S46" s="115"/>
      <c r="T46" s="276"/>
      <c r="U46" s="203" t="s">
        <v>265</v>
      </c>
      <c r="V46" s="115">
        <v>1405</v>
      </c>
      <c r="W46" s="114">
        <v>43052</v>
      </c>
      <c r="X46" s="115"/>
      <c r="Y46" s="115"/>
      <c r="Z46" s="115"/>
      <c r="AA46" s="115"/>
      <c r="AB46" s="35">
        <v>120</v>
      </c>
      <c r="AC46" s="170">
        <v>58734</v>
      </c>
      <c r="AD46" s="208"/>
      <c r="AE46" s="170"/>
      <c r="AF46" s="208"/>
      <c r="AG46" s="170"/>
      <c r="AH46" s="208"/>
      <c r="AI46" s="170"/>
      <c r="AJ46" s="232">
        <v>140</v>
      </c>
      <c r="AK46" s="170">
        <f>AE46+AG46+AI46</f>
        <v>0</v>
      </c>
      <c r="AL46" s="270">
        <f>15+30+10+25+20+20</f>
        <v>120</v>
      </c>
      <c r="AM46" s="170">
        <f>7341.75+14683.5+4894.5+12236.25+9789</f>
        <v>48945</v>
      </c>
      <c r="AN46" s="270">
        <v>0</v>
      </c>
      <c r="AO46" s="170">
        <f>AC46+AK46-AM46</f>
        <v>9789</v>
      </c>
      <c r="AP46" s="233"/>
      <c r="AQ46" s="233"/>
      <c r="AR46" s="170">
        <v>489.45</v>
      </c>
      <c r="AS46" s="170">
        <f>AQ46*AR46</f>
        <v>0</v>
      </c>
      <c r="AT46" s="247">
        <f t="shared" si="6"/>
        <v>140</v>
      </c>
      <c r="AU46" s="386">
        <f>AT46*AR46</f>
        <v>68523</v>
      </c>
      <c r="AV46" s="279">
        <v>140</v>
      </c>
    </row>
    <row r="47" spans="1:48" s="62" customFormat="1" ht="26.25" hidden="1" customHeight="1">
      <c r="A47" s="59"/>
      <c r="B47" s="60"/>
      <c r="C47" s="60"/>
      <c r="D47" s="22"/>
      <c r="E47" s="79" t="s">
        <v>24</v>
      </c>
      <c r="F47" s="51" t="s">
        <v>44</v>
      </c>
      <c r="G47" s="275" t="s">
        <v>116</v>
      </c>
      <c r="H47" s="115" t="s">
        <v>91</v>
      </c>
      <c r="I47" s="115" t="s">
        <v>91</v>
      </c>
      <c r="J47" s="115"/>
      <c r="K47" s="115"/>
      <c r="L47" s="276"/>
      <c r="M47" s="277">
        <f t="shared" si="0"/>
        <v>0</v>
      </c>
      <c r="N47" s="276">
        <f t="shared" si="1"/>
        <v>0</v>
      </c>
      <c r="O47" s="115"/>
      <c r="P47" s="276"/>
      <c r="Q47" s="115"/>
      <c r="R47" s="276"/>
      <c r="S47" s="115"/>
      <c r="T47" s="276"/>
      <c r="U47" s="278" t="s">
        <v>186</v>
      </c>
      <c r="V47" s="115">
        <v>1418</v>
      </c>
      <c r="W47" s="114">
        <v>43312</v>
      </c>
      <c r="X47" s="115" t="s">
        <v>184</v>
      </c>
      <c r="Y47" s="221">
        <v>43332</v>
      </c>
      <c r="Z47" s="115" t="s">
        <v>185</v>
      </c>
      <c r="AA47" s="221">
        <v>43320</v>
      </c>
      <c r="AB47" s="22">
        <v>0</v>
      </c>
      <c r="AC47" s="170">
        <v>0</v>
      </c>
      <c r="AD47" s="208">
        <v>55</v>
      </c>
      <c r="AE47" s="170">
        <v>10780</v>
      </c>
      <c r="AF47" s="208"/>
      <c r="AG47" s="170"/>
      <c r="AH47" s="208"/>
      <c r="AI47" s="170"/>
      <c r="AJ47" s="233"/>
      <c r="AK47" s="170">
        <f t="shared" si="5"/>
        <v>10780</v>
      </c>
      <c r="AL47" s="270">
        <v>0</v>
      </c>
      <c r="AM47" s="170">
        <v>0</v>
      </c>
      <c r="AN47" s="270">
        <v>55</v>
      </c>
      <c r="AO47" s="170">
        <v>0</v>
      </c>
      <c r="AP47" s="233"/>
      <c r="AQ47" s="233"/>
      <c r="AR47" s="170">
        <v>196</v>
      </c>
      <c r="AS47" s="170">
        <f t="shared" si="3"/>
        <v>0</v>
      </c>
      <c r="AT47" s="247">
        <f t="shared" si="6"/>
        <v>0</v>
      </c>
      <c r="AU47" s="386">
        <f t="shared" si="4"/>
        <v>0</v>
      </c>
      <c r="AV47" s="279">
        <v>0</v>
      </c>
    </row>
    <row r="48" spans="1:48" s="62" customFormat="1" ht="26.25" customHeight="1">
      <c r="A48" s="59"/>
      <c r="B48" s="60"/>
      <c r="C48" s="60"/>
      <c r="D48" s="22"/>
      <c r="E48" s="79"/>
      <c r="F48" s="485" t="s">
        <v>269</v>
      </c>
      <c r="G48" s="222" t="s">
        <v>152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03" t="s">
        <v>265</v>
      </c>
      <c r="V48" s="115"/>
      <c r="W48" s="114"/>
      <c r="X48" s="115"/>
      <c r="Y48" s="221"/>
      <c r="Z48" s="115"/>
      <c r="AA48" s="221"/>
      <c r="AB48" s="22"/>
      <c r="AC48" s="170"/>
      <c r="AD48" s="208"/>
      <c r="AE48" s="170"/>
      <c r="AF48" s="208"/>
      <c r="AG48" s="170"/>
      <c r="AH48" s="208"/>
      <c r="AI48" s="170"/>
      <c r="AJ48" s="232">
        <v>50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47">
        <f t="shared" si="6"/>
        <v>50</v>
      </c>
      <c r="AU48" s="386"/>
      <c r="AV48" s="279">
        <v>50</v>
      </c>
    </row>
    <row r="49" spans="1:49" s="62" customFormat="1" ht="26.25" customHeight="1">
      <c r="A49" s="59"/>
      <c r="B49" s="60"/>
      <c r="C49" s="60"/>
      <c r="D49" s="22"/>
      <c r="E49" s="79"/>
      <c r="F49" s="485" t="s">
        <v>269</v>
      </c>
      <c r="G49" s="222" t="s">
        <v>152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03" t="s">
        <v>314</v>
      </c>
      <c r="V49" s="115"/>
      <c r="W49" s="114"/>
      <c r="X49" s="115"/>
      <c r="Y49" s="221"/>
      <c r="Z49" s="115"/>
      <c r="AA49" s="221"/>
      <c r="AB49" s="22"/>
      <c r="AC49" s="170"/>
      <c r="AD49" s="208"/>
      <c r="AE49" s="170"/>
      <c r="AF49" s="208"/>
      <c r="AG49" s="170"/>
      <c r="AH49" s="208"/>
      <c r="AI49" s="170"/>
      <c r="AJ49" s="232">
        <v>75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47">
        <f t="shared" si="6"/>
        <v>75</v>
      </c>
      <c r="AU49" s="386"/>
      <c r="AV49" s="279">
        <v>75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322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35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35</v>
      </c>
      <c r="AU50" s="386"/>
      <c r="AV50" s="279">
        <v>35</v>
      </c>
    </row>
    <row r="51" spans="1:49" s="62" customFormat="1" ht="26.25" customHeight="1">
      <c r="A51" s="59"/>
      <c r="B51" s="60"/>
      <c r="C51" s="427"/>
      <c r="D51" s="428"/>
      <c r="E51" s="79"/>
      <c r="F51" s="177" t="s">
        <v>44</v>
      </c>
      <c r="G51" s="222" t="s">
        <v>116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332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475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475</v>
      </c>
      <c r="AU51" s="386"/>
      <c r="AV51" s="279">
        <v>475</v>
      </c>
    </row>
    <row r="52" spans="1:49" s="62" customFormat="1" ht="27" hidden="1" customHeight="1">
      <c r="A52" s="59"/>
      <c r="B52" s="60"/>
      <c r="C52" s="60"/>
      <c r="D52" s="22"/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2"/>
      <c r="AK52" s="170">
        <f t="shared" si="5"/>
        <v>1010.9</v>
      </c>
      <c r="AL52" s="270">
        <v>5</v>
      </c>
      <c r="AM52" s="170">
        <v>1010.9</v>
      </c>
      <c r="AN52" s="270">
        <v>0</v>
      </c>
      <c r="AO52" s="170">
        <f t="shared" si="2"/>
        <v>0</v>
      </c>
      <c r="AP52" s="233"/>
      <c r="AQ52" s="233"/>
      <c r="AR52" s="170"/>
      <c r="AS52" s="170">
        <f t="shared" si="3"/>
        <v>0</v>
      </c>
      <c r="AT52" s="247">
        <f t="shared" si="6"/>
        <v>0</v>
      </c>
      <c r="AU52" s="170">
        <f t="shared" si="4"/>
        <v>0</v>
      </c>
      <c r="AV52" s="233">
        <v>0</v>
      </c>
    </row>
    <row r="53" spans="1:49" s="62" customFormat="1" ht="27" hidden="1" customHeight="1">
      <c r="A53" s="59"/>
      <c r="B53" s="60"/>
      <c r="C53" s="60"/>
      <c r="D53" s="22"/>
      <c r="E53" s="79" t="s">
        <v>24</v>
      </c>
      <c r="F53" s="51" t="s">
        <v>52</v>
      </c>
      <c r="G53" s="275" t="s">
        <v>111</v>
      </c>
      <c r="H53" s="115" t="s">
        <v>91</v>
      </c>
      <c r="I53" s="115" t="s">
        <v>91</v>
      </c>
      <c r="J53" s="115">
        <v>2016</v>
      </c>
      <c r="K53" s="115">
        <v>2</v>
      </c>
      <c r="L53" s="276">
        <v>199.06</v>
      </c>
      <c r="M53" s="277">
        <f t="shared" si="0"/>
        <v>4032</v>
      </c>
      <c r="N53" s="276">
        <f t="shared" si="1"/>
        <v>802609.92</v>
      </c>
      <c r="O53" s="115">
        <v>4130</v>
      </c>
      <c r="P53" s="276">
        <v>1054554.2</v>
      </c>
      <c r="Q53" s="115"/>
      <c r="R53" s="276"/>
      <c r="S53" s="115"/>
      <c r="T53" s="276"/>
      <c r="U53" s="278" t="s">
        <v>112</v>
      </c>
      <c r="V53" s="115">
        <v>1583</v>
      </c>
      <c r="W53" s="114">
        <v>43082</v>
      </c>
      <c r="X53" s="115" t="s">
        <v>113</v>
      </c>
      <c r="Y53" s="221">
        <v>43109</v>
      </c>
      <c r="Z53" s="115" t="s">
        <v>110</v>
      </c>
      <c r="AA53" s="221">
        <v>43111</v>
      </c>
      <c r="AB53" s="22">
        <v>0</v>
      </c>
      <c r="AC53" s="170">
        <v>0</v>
      </c>
      <c r="AD53" s="208">
        <v>490</v>
      </c>
      <c r="AE53" s="170">
        <v>99068.2</v>
      </c>
      <c r="AF53" s="208"/>
      <c r="AG53" s="170"/>
      <c r="AH53" s="208"/>
      <c r="AI53" s="170"/>
      <c r="AJ53" s="232"/>
      <c r="AK53" s="170">
        <f t="shared" si="5"/>
        <v>99068.2</v>
      </c>
      <c r="AL53" s="270">
        <f>135+130+130</f>
        <v>395</v>
      </c>
      <c r="AM53" s="170">
        <f>AL53*AR53</f>
        <v>79861.100000000006</v>
      </c>
      <c r="AN53" s="270">
        <v>95</v>
      </c>
      <c r="AO53" s="170">
        <f t="shared" si="2"/>
        <v>19207.099999999991</v>
      </c>
      <c r="AP53" s="233"/>
      <c r="AQ53" s="233"/>
      <c r="AR53" s="170">
        <v>202.18</v>
      </c>
      <c r="AS53" s="170">
        <f t="shared" si="3"/>
        <v>0</v>
      </c>
      <c r="AT53" s="247">
        <f t="shared" si="6"/>
        <v>0</v>
      </c>
      <c r="AU53" s="386">
        <f t="shared" si="4"/>
        <v>0</v>
      </c>
      <c r="AV53" s="233">
        <v>0</v>
      </c>
    </row>
    <row r="54" spans="1:49" s="62" customFormat="1" ht="27" hidden="1" customHeight="1">
      <c r="A54" s="59"/>
      <c r="B54" s="60"/>
      <c r="C54" s="60"/>
      <c r="D54" s="22"/>
      <c r="E54" s="79" t="s">
        <v>24</v>
      </c>
      <c r="F54" s="51" t="s">
        <v>52</v>
      </c>
      <c r="G54" s="275" t="s">
        <v>111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112</v>
      </c>
      <c r="V54" s="115">
        <v>1745</v>
      </c>
      <c r="W54" s="114">
        <v>43096</v>
      </c>
      <c r="X54" s="115" t="s">
        <v>117</v>
      </c>
      <c r="Y54" s="221">
        <v>43109</v>
      </c>
      <c r="Z54" s="115" t="s">
        <v>118</v>
      </c>
      <c r="AA54" s="221">
        <v>43133</v>
      </c>
      <c r="AB54" s="22">
        <v>0</v>
      </c>
      <c r="AC54" s="170">
        <v>0</v>
      </c>
      <c r="AD54" s="208">
        <v>195</v>
      </c>
      <c r="AE54" s="170">
        <v>39425.1</v>
      </c>
      <c r="AF54" s="208"/>
      <c r="AG54" s="170"/>
      <c r="AH54" s="208"/>
      <c r="AI54" s="170"/>
      <c r="AJ54" s="232"/>
      <c r="AK54" s="170">
        <f t="shared" si="5"/>
        <v>39425.1</v>
      </c>
      <c r="AL54" s="270">
        <v>0</v>
      </c>
      <c r="AM54" s="170">
        <v>0</v>
      </c>
      <c r="AN54" s="270">
        <v>195</v>
      </c>
      <c r="AO54" s="170">
        <f t="shared" si="2"/>
        <v>39425.1</v>
      </c>
      <c r="AP54" s="233"/>
      <c r="AQ54" s="233"/>
      <c r="AR54" s="170">
        <v>202.18</v>
      </c>
      <c r="AS54" s="170">
        <f t="shared" si="3"/>
        <v>0</v>
      </c>
      <c r="AT54" s="247">
        <f t="shared" si="6"/>
        <v>0</v>
      </c>
      <c r="AU54" s="386">
        <f t="shared" si="4"/>
        <v>0</v>
      </c>
      <c r="AV54" s="233">
        <v>0</v>
      </c>
    </row>
    <row r="55" spans="1:49" s="62" customFormat="1" ht="26.25" customHeight="1">
      <c r="A55" s="59"/>
      <c r="B55" s="60"/>
      <c r="C55" s="137"/>
      <c r="D55" s="192"/>
      <c r="E55" s="79" t="s">
        <v>24</v>
      </c>
      <c r="F55" s="525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527" t="s">
        <v>133</v>
      </c>
      <c r="V55" s="193">
        <v>234</v>
      </c>
      <c r="W55" s="532">
        <v>43143</v>
      </c>
      <c r="X55" s="193" t="s">
        <v>143</v>
      </c>
      <c r="Y55" s="200">
        <v>43164</v>
      </c>
      <c r="Z55" s="193"/>
      <c r="AA55" s="193"/>
      <c r="AB55" s="192">
        <v>0</v>
      </c>
      <c r="AC55" s="530">
        <v>0</v>
      </c>
      <c r="AD55" s="531">
        <v>320</v>
      </c>
      <c r="AE55" s="530">
        <v>64697.599999999999</v>
      </c>
      <c r="AF55" s="531"/>
      <c r="AG55" s="530"/>
      <c r="AH55" s="531"/>
      <c r="AI55" s="530"/>
      <c r="AJ55" s="247"/>
      <c r="AK55" s="170">
        <f t="shared" si="5"/>
        <v>64697.599999999999</v>
      </c>
      <c r="AL55" s="272">
        <v>0</v>
      </c>
      <c r="AM55" s="212">
        <v>0</v>
      </c>
      <c r="AN55" s="269">
        <v>320</v>
      </c>
      <c r="AO55" s="217">
        <f t="shared" si="2"/>
        <v>64697.599999999999</v>
      </c>
      <c r="AP55" s="232"/>
      <c r="AQ55" s="229"/>
      <c r="AR55" s="212">
        <v>202.18</v>
      </c>
      <c r="AS55" s="212">
        <f t="shared" si="3"/>
        <v>0</v>
      </c>
      <c r="AT55" s="247">
        <f t="shared" si="6"/>
        <v>65</v>
      </c>
      <c r="AU55" s="249">
        <f t="shared" si="4"/>
        <v>13141.7</v>
      </c>
      <c r="AV55" s="247">
        <v>65</v>
      </c>
    </row>
    <row r="56" spans="1:49" s="62" customFormat="1" ht="26.25" hidden="1" customHeight="1">
      <c r="A56" s="59"/>
      <c r="B56" s="60"/>
      <c r="C56" s="60"/>
      <c r="D56" s="22"/>
      <c r="E56" s="79" t="s">
        <v>24</v>
      </c>
      <c r="F56" s="51" t="s">
        <v>65</v>
      </c>
      <c r="G56" s="275" t="s">
        <v>111</v>
      </c>
      <c r="H56" s="115" t="s">
        <v>91</v>
      </c>
      <c r="I56" s="115" t="s">
        <v>91</v>
      </c>
      <c r="J56" s="115"/>
      <c r="K56" s="115"/>
      <c r="L56" s="276"/>
      <c r="M56" s="277">
        <f t="shared" si="0"/>
        <v>0</v>
      </c>
      <c r="N56" s="276">
        <f t="shared" si="1"/>
        <v>0</v>
      </c>
      <c r="O56" s="115"/>
      <c r="P56" s="276"/>
      <c r="Q56" s="115"/>
      <c r="R56" s="276"/>
      <c r="S56" s="115"/>
      <c r="T56" s="276"/>
      <c r="U56" s="278" t="s">
        <v>132</v>
      </c>
      <c r="V56" s="115">
        <v>234</v>
      </c>
      <c r="W56" s="114">
        <v>43143</v>
      </c>
      <c r="X56" s="115" t="s">
        <v>143</v>
      </c>
      <c r="Y56" s="221">
        <v>43164</v>
      </c>
      <c r="Z56" s="115"/>
      <c r="AA56" s="115"/>
      <c r="AB56" s="22">
        <v>0</v>
      </c>
      <c r="AC56" s="170">
        <v>0</v>
      </c>
      <c r="AD56" s="208">
        <v>15</v>
      </c>
      <c r="AE56" s="170">
        <v>3032.7</v>
      </c>
      <c r="AF56" s="208"/>
      <c r="AG56" s="170"/>
      <c r="AH56" s="208"/>
      <c r="AI56" s="170"/>
      <c r="AJ56" s="233"/>
      <c r="AK56" s="170">
        <f t="shared" si="5"/>
        <v>3032.7</v>
      </c>
      <c r="AL56" s="270">
        <v>0</v>
      </c>
      <c r="AM56" s="170">
        <v>0</v>
      </c>
      <c r="AN56" s="270">
        <v>15</v>
      </c>
      <c r="AO56" s="170">
        <f t="shared" si="2"/>
        <v>3032.7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  <c r="AW56" s="517" t="s">
        <v>287</v>
      </c>
    </row>
    <row r="57" spans="1:49" s="62" customFormat="1" ht="27" customHeight="1">
      <c r="A57" s="59"/>
      <c r="B57" s="60"/>
      <c r="C57" s="137"/>
      <c r="D57" s="192"/>
      <c r="E57" s="79" t="s">
        <v>24</v>
      </c>
      <c r="F57" s="525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527" t="s">
        <v>133</v>
      </c>
      <c r="V57" s="193">
        <v>356</v>
      </c>
      <c r="W57" s="532">
        <v>43159</v>
      </c>
      <c r="X57" s="193" t="s">
        <v>136</v>
      </c>
      <c r="Y57" s="200">
        <v>43164</v>
      </c>
      <c r="Z57" s="193"/>
      <c r="AA57" s="193"/>
      <c r="AB57" s="192">
        <v>0</v>
      </c>
      <c r="AC57" s="530">
        <v>0</v>
      </c>
      <c r="AD57" s="531">
        <v>170</v>
      </c>
      <c r="AE57" s="530">
        <v>34370.6</v>
      </c>
      <c r="AF57" s="531"/>
      <c r="AG57" s="530"/>
      <c r="AH57" s="531"/>
      <c r="AI57" s="530"/>
      <c r="AJ57" s="247"/>
      <c r="AK57" s="170">
        <f t="shared" si="5"/>
        <v>34370.6</v>
      </c>
      <c r="AL57" s="272">
        <v>0</v>
      </c>
      <c r="AM57" s="212">
        <v>0</v>
      </c>
      <c r="AN57" s="269">
        <v>170</v>
      </c>
      <c r="AO57" s="217">
        <f t="shared" si="2"/>
        <v>34370.6</v>
      </c>
      <c r="AP57" s="232"/>
      <c r="AQ57" s="229"/>
      <c r="AR57" s="212">
        <v>202.18</v>
      </c>
      <c r="AS57" s="212">
        <f t="shared" si="3"/>
        <v>0</v>
      </c>
      <c r="AT57" s="247">
        <f t="shared" si="6"/>
        <v>170</v>
      </c>
      <c r="AU57" s="228">
        <f t="shared" si="4"/>
        <v>34370.6</v>
      </c>
      <c r="AV57" s="247">
        <v>170</v>
      </c>
    </row>
    <row r="58" spans="1:49" s="62" customFormat="1" ht="27" customHeight="1">
      <c r="A58" s="59"/>
      <c r="B58" s="60"/>
      <c r="C58" s="137"/>
      <c r="D58" s="192"/>
      <c r="E58" s="79" t="s">
        <v>24</v>
      </c>
      <c r="F58" s="525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527" t="s">
        <v>133</v>
      </c>
      <c r="V58" s="193">
        <v>260</v>
      </c>
      <c r="W58" s="532">
        <v>43145</v>
      </c>
      <c r="X58" s="193" t="s">
        <v>94</v>
      </c>
      <c r="Y58" s="200">
        <v>43164</v>
      </c>
      <c r="Z58" s="193"/>
      <c r="AA58" s="193"/>
      <c r="AB58" s="192">
        <v>0</v>
      </c>
      <c r="AC58" s="530">
        <v>0</v>
      </c>
      <c r="AD58" s="531">
        <v>665</v>
      </c>
      <c r="AE58" s="530">
        <v>134449.70000000001</v>
      </c>
      <c r="AF58" s="531"/>
      <c r="AG58" s="530"/>
      <c r="AH58" s="531"/>
      <c r="AI58" s="530"/>
      <c r="AJ58" s="247"/>
      <c r="AK58" s="170">
        <f t="shared" si="5"/>
        <v>134449.70000000001</v>
      </c>
      <c r="AL58" s="272">
        <v>0</v>
      </c>
      <c r="AM58" s="212">
        <v>0</v>
      </c>
      <c r="AN58" s="269">
        <v>665</v>
      </c>
      <c r="AO58" s="217">
        <f t="shared" si="2"/>
        <v>134449.70000000001</v>
      </c>
      <c r="AP58" s="232"/>
      <c r="AQ58" s="229"/>
      <c r="AR58" s="212">
        <v>202.18</v>
      </c>
      <c r="AS58" s="212">
        <f t="shared" si="3"/>
        <v>0</v>
      </c>
      <c r="AT58" s="247">
        <f t="shared" si="6"/>
        <v>665</v>
      </c>
      <c r="AU58" s="249">
        <f t="shared" si="4"/>
        <v>134449.70000000001</v>
      </c>
      <c r="AV58" s="247">
        <v>665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124</v>
      </c>
      <c r="V59" s="115">
        <v>68</v>
      </c>
      <c r="W59" s="114">
        <v>43116</v>
      </c>
      <c r="X59" s="115" t="s">
        <v>125</v>
      </c>
      <c r="Y59" s="221">
        <v>43130</v>
      </c>
      <c r="Z59" s="115"/>
      <c r="AA59" s="115"/>
      <c r="AB59" s="22">
        <v>0</v>
      </c>
      <c r="AC59" s="170">
        <v>0</v>
      </c>
      <c r="AD59" s="208">
        <v>335</v>
      </c>
      <c r="AE59" s="170">
        <v>67730.3</v>
      </c>
      <c r="AF59" s="208"/>
      <c r="AG59" s="170"/>
      <c r="AH59" s="208"/>
      <c r="AI59" s="170"/>
      <c r="AJ59" s="233"/>
      <c r="AK59" s="170">
        <f t="shared" si="5"/>
        <v>67730.3</v>
      </c>
      <c r="AL59" s="270">
        <v>0</v>
      </c>
      <c r="AM59" s="170">
        <v>0</v>
      </c>
      <c r="AN59" s="270">
        <v>335</v>
      </c>
      <c r="AO59" s="170">
        <f t="shared" si="2"/>
        <v>67730.3</v>
      </c>
      <c r="AP59" s="233"/>
      <c r="AQ59" s="233"/>
      <c r="AR59" s="170">
        <v>202.18</v>
      </c>
      <c r="AS59" s="170">
        <f t="shared" si="3"/>
        <v>0</v>
      </c>
      <c r="AT59" s="247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124</v>
      </c>
      <c r="V60" s="115">
        <v>135</v>
      </c>
      <c r="W60" s="114">
        <v>42761</v>
      </c>
      <c r="X60" s="115" t="s">
        <v>126</v>
      </c>
      <c r="Y60" s="221">
        <v>43130</v>
      </c>
      <c r="Z60" s="115"/>
      <c r="AA60" s="115"/>
      <c r="AB60" s="22">
        <v>0</v>
      </c>
      <c r="AC60" s="170">
        <v>0</v>
      </c>
      <c r="AD60" s="208">
        <v>155</v>
      </c>
      <c r="AE60" s="170">
        <v>31337.9</v>
      </c>
      <c r="AF60" s="208"/>
      <c r="AG60" s="170"/>
      <c r="AH60" s="208"/>
      <c r="AI60" s="170"/>
      <c r="AJ60" s="233"/>
      <c r="AK60" s="170">
        <f t="shared" si="5"/>
        <v>31337.9</v>
      </c>
      <c r="AL60" s="270">
        <v>0</v>
      </c>
      <c r="AM60" s="170">
        <v>0</v>
      </c>
      <c r="AN60" s="270">
        <v>155</v>
      </c>
      <c r="AO60" s="170">
        <f t="shared" si="2"/>
        <v>31337.9</v>
      </c>
      <c r="AP60" s="233"/>
      <c r="AQ60" s="233"/>
      <c r="AR60" s="170">
        <v>202.18</v>
      </c>
      <c r="AS60" s="170">
        <f t="shared" si="3"/>
        <v>0</v>
      </c>
      <c r="AT60" s="247">
        <f t="shared" si="6"/>
        <v>0</v>
      </c>
      <c r="AU60" s="386">
        <f t="shared" si="4"/>
        <v>0</v>
      </c>
      <c r="AV60" s="233">
        <v>0</v>
      </c>
    </row>
    <row r="61" spans="1:49" s="62" customFormat="1" ht="26.25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132</v>
      </c>
      <c r="V61" s="193">
        <v>108</v>
      </c>
      <c r="W61" s="532">
        <v>43119</v>
      </c>
      <c r="X61" s="193" t="s">
        <v>131</v>
      </c>
      <c r="Y61" s="200">
        <v>43130</v>
      </c>
      <c r="Z61" s="193"/>
      <c r="AA61" s="193"/>
      <c r="AB61" s="192">
        <v>0</v>
      </c>
      <c r="AC61" s="530">
        <v>0</v>
      </c>
      <c r="AD61" s="531">
        <v>340</v>
      </c>
      <c r="AE61" s="530">
        <v>68741.2</v>
      </c>
      <c r="AF61" s="531"/>
      <c r="AG61" s="530"/>
      <c r="AH61" s="531"/>
      <c r="AI61" s="530"/>
      <c r="AJ61" s="247"/>
      <c r="AK61" s="170">
        <f t="shared" si="5"/>
        <v>68741.2</v>
      </c>
      <c r="AL61" s="272">
        <v>0</v>
      </c>
      <c r="AM61" s="212">
        <v>0</v>
      </c>
      <c r="AN61" s="269">
        <v>340</v>
      </c>
      <c r="AO61" s="217">
        <f t="shared" si="2"/>
        <v>68741.2</v>
      </c>
      <c r="AP61" s="232"/>
      <c r="AQ61" s="229"/>
      <c r="AR61" s="212">
        <v>202.18</v>
      </c>
      <c r="AS61" s="212">
        <f t="shared" si="3"/>
        <v>0</v>
      </c>
      <c r="AT61" s="247">
        <f t="shared" si="6"/>
        <v>205</v>
      </c>
      <c r="AU61" s="249">
        <f t="shared" si="4"/>
        <v>41446.9</v>
      </c>
      <c r="AV61" s="247">
        <v>205</v>
      </c>
    </row>
    <row r="62" spans="1:49" s="62" customFormat="1" ht="26.25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161</v>
      </c>
      <c r="V62" s="193">
        <v>659</v>
      </c>
      <c r="W62" s="532">
        <v>43201</v>
      </c>
      <c r="X62" s="193" t="s">
        <v>159</v>
      </c>
      <c r="Y62" s="200">
        <v>43213</v>
      </c>
      <c r="Z62" s="193" t="s">
        <v>160</v>
      </c>
      <c r="AA62" s="200">
        <v>43255</v>
      </c>
      <c r="AB62" s="192">
        <v>0</v>
      </c>
      <c r="AC62" s="530">
        <v>0</v>
      </c>
      <c r="AD62" s="531">
        <v>245</v>
      </c>
      <c r="AE62" s="530">
        <v>49534.1</v>
      </c>
      <c r="AF62" s="531"/>
      <c r="AG62" s="530"/>
      <c r="AH62" s="531"/>
      <c r="AI62" s="530"/>
      <c r="AJ62" s="247"/>
      <c r="AK62" s="170">
        <f t="shared" si="5"/>
        <v>49534.1</v>
      </c>
      <c r="AL62" s="272">
        <v>0</v>
      </c>
      <c r="AM62" s="212">
        <v>0</v>
      </c>
      <c r="AN62" s="269">
        <v>245</v>
      </c>
      <c r="AO62" s="217">
        <f t="shared" si="2"/>
        <v>49534.1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245</v>
      </c>
      <c r="AU62" s="228">
        <f t="shared" si="4"/>
        <v>49534.1</v>
      </c>
      <c r="AV62" s="247">
        <v>245</v>
      </c>
    </row>
    <row r="63" spans="1:49" s="62" customFormat="1" ht="26.25" customHeight="1">
      <c r="A63" s="59"/>
      <c r="B63" s="60"/>
      <c r="C63" s="60"/>
      <c r="D63" s="22"/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834</v>
      </c>
      <c r="W63" s="114">
        <v>43222</v>
      </c>
      <c r="X63" s="193" t="s">
        <v>162</v>
      </c>
      <c r="Y63" s="200">
        <v>43242</v>
      </c>
      <c r="Z63" s="193"/>
      <c r="AA63" s="193"/>
      <c r="AB63" s="22">
        <v>0</v>
      </c>
      <c r="AC63" s="170">
        <v>0</v>
      </c>
      <c r="AD63" s="209">
        <v>555</v>
      </c>
      <c r="AE63" s="194">
        <v>112209.9</v>
      </c>
      <c r="AF63" s="209"/>
      <c r="AG63" s="194"/>
      <c r="AH63" s="209"/>
      <c r="AI63" s="194"/>
      <c r="AJ63" s="232"/>
      <c r="AK63" s="170">
        <f t="shared" si="5"/>
        <v>112209.9</v>
      </c>
      <c r="AL63" s="272">
        <v>0</v>
      </c>
      <c r="AM63" s="212">
        <v>0</v>
      </c>
      <c r="AN63" s="269">
        <v>555</v>
      </c>
      <c r="AO63" s="217">
        <f t="shared" si="2"/>
        <v>112209.9</v>
      </c>
      <c r="AP63" s="232"/>
      <c r="AQ63" s="229"/>
      <c r="AR63" s="212">
        <v>202.18</v>
      </c>
      <c r="AS63" s="212">
        <f t="shared" si="3"/>
        <v>0</v>
      </c>
      <c r="AT63" s="247">
        <f t="shared" si="6"/>
        <v>495</v>
      </c>
      <c r="AU63" s="228">
        <f t="shared" si="4"/>
        <v>100079.1</v>
      </c>
      <c r="AV63" s="279">
        <v>495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175</v>
      </c>
      <c r="V64" s="115">
        <v>1006</v>
      </c>
      <c r="W64" s="114">
        <v>43244</v>
      </c>
      <c r="X64" s="115" t="s">
        <v>179</v>
      </c>
      <c r="Y64" s="221">
        <v>43285</v>
      </c>
      <c r="Z64" s="115"/>
      <c r="AA64" s="115"/>
      <c r="AB64" s="22">
        <v>0</v>
      </c>
      <c r="AC64" s="170">
        <v>0</v>
      </c>
      <c r="AD64" s="208">
        <v>45</v>
      </c>
      <c r="AE64" s="170">
        <v>8820</v>
      </c>
      <c r="AF64" s="208"/>
      <c r="AG64" s="170"/>
      <c r="AH64" s="208"/>
      <c r="AI64" s="170"/>
      <c r="AJ64" s="233"/>
      <c r="AK64" s="170">
        <f t="shared" si="5"/>
        <v>8820</v>
      </c>
      <c r="AL64" s="270">
        <v>0</v>
      </c>
      <c r="AM64" s="170">
        <v>0</v>
      </c>
      <c r="AN64" s="270">
        <v>45</v>
      </c>
      <c r="AO64" s="170">
        <f t="shared" si="2"/>
        <v>8820</v>
      </c>
      <c r="AP64" s="233"/>
      <c r="AQ64" s="233"/>
      <c r="AR64" s="170">
        <v>196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175</v>
      </c>
      <c r="V65" s="115">
        <v>1006</v>
      </c>
      <c r="W65" s="114">
        <v>43244</v>
      </c>
      <c r="X65" s="115" t="s">
        <v>179</v>
      </c>
      <c r="Y65" s="221">
        <v>43285</v>
      </c>
      <c r="Z65" s="115"/>
      <c r="AA65" s="115"/>
      <c r="AB65" s="22">
        <v>0</v>
      </c>
      <c r="AC65" s="170">
        <v>0</v>
      </c>
      <c r="AD65" s="208">
        <v>55</v>
      </c>
      <c r="AE65" s="170">
        <v>11119.9</v>
      </c>
      <c r="AF65" s="208"/>
      <c r="AG65" s="170"/>
      <c r="AH65" s="208"/>
      <c r="AI65" s="170"/>
      <c r="AJ65" s="233"/>
      <c r="AK65" s="170">
        <f t="shared" si="5"/>
        <v>11119.9</v>
      </c>
      <c r="AL65" s="270">
        <v>0</v>
      </c>
      <c r="AM65" s="170">
        <v>0</v>
      </c>
      <c r="AN65" s="270">
        <v>55</v>
      </c>
      <c r="AO65" s="170">
        <f t="shared" si="2"/>
        <v>11119.9</v>
      </c>
      <c r="AP65" s="233"/>
      <c r="AQ65" s="233"/>
      <c r="AR65" s="170">
        <v>202.18</v>
      </c>
      <c r="AS65" s="170">
        <f t="shared" si="3"/>
        <v>0</v>
      </c>
      <c r="AT65" s="247">
        <f t="shared" si="6"/>
        <v>0</v>
      </c>
      <c r="AU65" s="386">
        <f t="shared" si="4"/>
        <v>0</v>
      </c>
      <c r="AV65" s="233">
        <v>0</v>
      </c>
    </row>
    <row r="66" spans="1:48" s="62" customFormat="1" ht="26.25" customHeight="1">
      <c r="A66" s="59"/>
      <c r="B66" s="60"/>
      <c r="C66" s="60"/>
      <c r="D66" s="22"/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877</v>
      </c>
      <c r="W66" s="114">
        <v>43230</v>
      </c>
      <c r="X66" s="193" t="s">
        <v>174</v>
      </c>
      <c r="Y66" s="200">
        <v>43285</v>
      </c>
      <c r="Z66" s="193"/>
      <c r="AA66" s="193"/>
      <c r="AB66" s="22">
        <v>0</v>
      </c>
      <c r="AC66" s="170">
        <v>0</v>
      </c>
      <c r="AD66" s="209">
        <v>210</v>
      </c>
      <c r="AE66" s="194">
        <v>42457.8</v>
      </c>
      <c r="AF66" s="209"/>
      <c r="AG66" s="194"/>
      <c r="AH66" s="209"/>
      <c r="AI66" s="194"/>
      <c r="AJ66" s="232"/>
      <c r="AK66" s="170">
        <f t="shared" si="5"/>
        <v>42457.8</v>
      </c>
      <c r="AL66" s="272">
        <v>0</v>
      </c>
      <c r="AM66" s="212">
        <v>0</v>
      </c>
      <c r="AN66" s="269">
        <v>210</v>
      </c>
      <c r="AO66" s="217">
        <f t="shared" si="2"/>
        <v>42457.8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210</v>
      </c>
      <c r="AU66" s="228">
        <f t="shared" si="4"/>
        <v>42457.8</v>
      </c>
      <c r="AV66" s="279">
        <v>210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1053</v>
      </c>
      <c r="W67" s="114">
        <v>43255</v>
      </c>
      <c r="X67" s="193" t="s">
        <v>177</v>
      </c>
      <c r="Y67" s="200">
        <v>43285</v>
      </c>
      <c r="Z67" s="193" t="s">
        <v>178</v>
      </c>
      <c r="AA67" s="200">
        <v>43269</v>
      </c>
      <c r="AB67" s="22">
        <v>0</v>
      </c>
      <c r="AC67" s="170">
        <v>0</v>
      </c>
      <c r="AD67" s="209">
        <v>105</v>
      </c>
      <c r="AE67" s="194">
        <v>21228.9</v>
      </c>
      <c r="AF67" s="209"/>
      <c r="AG67" s="194"/>
      <c r="AH67" s="209"/>
      <c r="AI67" s="194"/>
      <c r="AJ67" s="232"/>
      <c r="AK67" s="170">
        <f t="shared" si="5"/>
        <v>21228.9</v>
      </c>
      <c r="AL67" s="272">
        <v>0</v>
      </c>
      <c r="AM67" s="212">
        <v>0</v>
      </c>
      <c r="AN67" s="269">
        <v>105</v>
      </c>
      <c r="AO67" s="217">
        <f t="shared" si="2"/>
        <v>21228.9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105</v>
      </c>
      <c r="AU67" s="228">
        <f t="shared" si="4"/>
        <v>21228.9</v>
      </c>
      <c r="AV67" s="279">
        <v>105</v>
      </c>
    </row>
    <row r="68" spans="1:48" s="62" customFormat="1" ht="26.25" customHeight="1">
      <c r="A68" s="59"/>
      <c r="B68" s="60"/>
      <c r="C68" s="60"/>
      <c r="D68" s="22"/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187</v>
      </c>
      <c r="V68" s="115">
        <v>1418</v>
      </c>
      <c r="W68" s="114">
        <v>43312</v>
      </c>
      <c r="X68" s="193" t="s">
        <v>184</v>
      </c>
      <c r="Y68" s="200">
        <v>43332</v>
      </c>
      <c r="Z68" s="193" t="s">
        <v>185</v>
      </c>
      <c r="AA68" s="200">
        <v>43320</v>
      </c>
      <c r="AB68" s="22">
        <v>0</v>
      </c>
      <c r="AC68" s="170">
        <v>0</v>
      </c>
      <c r="AD68" s="209">
        <v>30</v>
      </c>
      <c r="AE68" s="194">
        <v>5880</v>
      </c>
      <c r="AF68" s="209"/>
      <c r="AG68" s="194"/>
      <c r="AH68" s="209"/>
      <c r="AI68" s="194"/>
      <c r="AJ68" s="232"/>
      <c r="AK68" s="170">
        <f t="shared" si="5"/>
        <v>5880</v>
      </c>
      <c r="AL68" s="272">
        <v>0</v>
      </c>
      <c r="AM68" s="212">
        <v>0</v>
      </c>
      <c r="AN68" s="269">
        <v>30</v>
      </c>
      <c r="AO68" s="217">
        <v>0</v>
      </c>
      <c r="AP68" s="232"/>
      <c r="AQ68" s="229"/>
      <c r="AR68" s="212">
        <v>196</v>
      </c>
      <c r="AS68" s="212">
        <f t="shared" si="3"/>
        <v>0</v>
      </c>
      <c r="AT68" s="247">
        <f t="shared" si="6"/>
        <v>30</v>
      </c>
      <c r="AU68" s="228">
        <f t="shared" si="4"/>
        <v>5880</v>
      </c>
      <c r="AV68" s="279">
        <v>30</v>
      </c>
    </row>
    <row r="69" spans="1:48" s="62" customFormat="1" ht="26.25" customHeight="1">
      <c r="A69" s="59"/>
      <c r="B69" s="60"/>
      <c r="C69" s="60"/>
      <c r="D69" s="22"/>
      <c r="E69" s="79"/>
      <c r="F69" s="53" t="s">
        <v>65</v>
      </c>
      <c r="G69" s="222" t="s">
        <v>111</v>
      </c>
      <c r="H69" s="193"/>
      <c r="I69" s="193"/>
      <c r="J69" s="193"/>
      <c r="K69" s="193"/>
      <c r="L69" s="243"/>
      <c r="M69" s="242"/>
      <c r="N69" s="243"/>
      <c r="O69" s="193"/>
      <c r="P69" s="243"/>
      <c r="Q69" s="193"/>
      <c r="R69" s="243"/>
      <c r="S69" s="193"/>
      <c r="T69" s="243"/>
      <c r="U69" s="203"/>
      <c r="V69" s="115"/>
      <c r="W69" s="114"/>
      <c r="X69" s="193"/>
      <c r="Y69" s="200"/>
      <c r="Z69" s="193"/>
      <c r="AA69" s="200"/>
      <c r="AB69" s="22"/>
      <c r="AC69" s="170"/>
      <c r="AD69" s="209"/>
      <c r="AE69" s="194"/>
      <c r="AF69" s="209"/>
      <c r="AG69" s="194"/>
      <c r="AH69" s="209"/>
      <c r="AI69" s="194"/>
      <c r="AJ69" s="232"/>
      <c r="AK69" s="170"/>
      <c r="AL69" s="272"/>
      <c r="AM69" s="212"/>
      <c r="AN69" s="269"/>
      <c r="AO69" s="217"/>
      <c r="AP69" s="232"/>
      <c r="AQ69" s="229"/>
      <c r="AR69" s="212"/>
      <c r="AS69" s="212"/>
      <c r="AT69" s="247">
        <f t="shared" si="6"/>
        <v>30</v>
      </c>
      <c r="AU69" s="228"/>
      <c r="AV69" s="279">
        <v>30</v>
      </c>
    </row>
    <row r="70" spans="1:48" s="62" customFormat="1" ht="26.25" hidden="1" customHeight="1">
      <c r="A70" s="59"/>
      <c r="B70" s="60"/>
      <c r="C70" s="60"/>
      <c r="D70" s="22"/>
      <c r="E70" s="79" t="s">
        <v>24</v>
      </c>
      <c r="F70" s="51" t="s">
        <v>249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2"/>
      <c r="AK70" s="170">
        <f t="shared" si="5"/>
        <v>26255</v>
      </c>
      <c r="AL70" s="270">
        <f>63+62</f>
        <v>125</v>
      </c>
      <c r="AM70" s="170">
        <v>26255</v>
      </c>
      <c r="AN70" s="270">
        <v>0</v>
      </c>
      <c r="AO70" s="170">
        <f t="shared" si="2"/>
        <v>0</v>
      </c>
      <c r="AP70" s="233"/>
      <c r="AQ70" s="233"/>
      <c r="AR70" s="170">
        <v>210.04</v>
      </c>
      <c r="AS70" s="170">
        <f t="shared" si="3"/>
        <v>0</v>
      </c>
      <c r="AT70" s="247">
        <f t="shared" si="6"/>
        <v>0</v>
      </c>
      <c r="AU70" s="170">
        <f t="shared" si="4"/>
        <v>0</v>
      </c>
      <c r="AV70" s="233">
        <v>0</v>
      </c>
    </row>
    <row r="71" spans="1:48" s="62" customFormat="1" ht="26.25" hidden="1" customHeight="1">
      <c r="A71" s="59"/>
      <c r="B71" s="60"/>
      <c r="C71" s="60"/>
      <c r="D71" s="22"/>
      <c r="E71" s="79" t="s">
        <v>24</v>
      </c>
      <c r="F71" s="51" t="s">
        <v>249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2"/>
      <c r="AK71" s="170">
        <f t="shared" si="5"/>
        <v>16803.2</v>
      </c>
      <c r="AL71" s="270">
        <v>80</v>
      </c>
      <c r="AM71" s="170">
        <v>16803.2</v>
      </c>
      <c r="AN71" s="270">
        <v>0</v>
      </c>
      <c r="AO71" s="170">
        <f t="shared" si="2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47">
        <f t="shared" si="6"/>
        <v>0</v>
      </c>
      <c r="AU71" s="170">
        <f t="shared" si="4"/>
        <v>0</v>
      </c>
      <c r="AV71" s="233">
        <v>0</v>
      </c>
    </row>
    <row r="72" spans="1:48" s="62" customFormat="1" ht="26.25" hidden="1" customHeight="1">
      <c r="A72" s="59"/>
      <c r="B72" s="60"/>
      <c r="C72" s="60"/>
      <c r="D72" s="22"/>
      <c r="E72" s="79" t="s">
        <v>24</v>
      </c>
      <c r="F72" s="51" t="s">
        <v>249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2"/>
      <c r="AK72" s="170">
        <f t="shared" si="5"/>
        <v>2038.7</v>
      </c>
      <c r="AL72" s="270">
        <v>10</v>
      </c>
      <c r="AM72" s="170">
        <v>2038.7</v>
      </c>
      <c r="AN72" s="270">
        <v>0</v>
      </c>
      <c r="AO72" s="170">
        <f t="shared" si="2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47">
        <f t="shared" si="6"/>
        <v>0</v>
      </c>
      <c r="AU72" s="170">
        <f t="shared" si="4"/>
        <v>0</v>
      </c>
      <c r="AV72" s="233">
        <v>0</v>
      </c>
    </row>
    <row r="73" spans="1:48" s="62" customFormat="1" ht="25.5" hidden="1" customHeight="1">
      <c r="A73" s="59"/>
      <c r="B73" s="60"/>
      <c r="C73" s="60"/>
      <c r="D73" s="22"/>
      <c r="E73" s="79" t="s">
        <v>24</v>
      </c>
      <c r="F73" s="51" t="s">
        <v>250</v>
      </c>
      <c r="G73" s="275" t="s">
        <v>140</v>
      </c>
      <c r="H73" s="115" t="s">
        <v>91</v>
      </c>
      <c r="I73" s="115" t="s">
        <v>91</v>
      </c>
      <c r="J73" s="115">
        <v>1080</v>
      </c>
      <c r="K73" s="115">
        <v>2</v>
      </c>
      <c r="L73" s="276">
        <v>304.58999999999997</v>
      </c>
      <c r="M73" s="277">
        <f t="shared" si="0"/>
        <v>2160</v>
      </c>
      <c r="N73" s="276">
        <f t="shared" si="1"/>
        <v>657914.39999999991</v>
      </c>
      <c r="O73" s="115">
        <v>180</v>
      </c>
      <c r="P73" s="276">
        <v>49908.6</v>
      </c>
      <c r="Q73" s="115">
        <v>1080</v>
      </c>
      <c r="R73" s="276">
        <v>323838</v>
      </c>
      <c r="S73" s="115">
        <v>602</v>
      </c>
      <c r="T73" s="276">
        <v>183363.18</v>
      </c>
      <c r="U73" s="278" t="s">
        <v>139</v>
      </c>
      <c r="V73" s="115">
        <v>427</v>
      </c>
      <c r="W73" s="114">
        <v>43164</v>
      </c>
      <c r="X73" s="115" t="s">
        <v>138</v>
      </c>
      <c r="Y73" s="221">
        <v>43164</v>
      </c>
      <c r="Z73" s="115"/>
      <c r="AA73" s="115"/>
      <c r="AB73" s="22">
        <v>0</v>
      </c>
      <c r="AC73" s="170">
        <v>0</v>
      </c>
      <c r="AD73" s="208">
        <v>56</v>
      </c>
      <c r="AE73" s="170">
        <v>16794.400000000001</v>
      </c>
      <c r="AF73" s="208"/>
      <c r="AG73" s="170"/>
      <c r="AH73" s="208"/>
      <c r="AI73" s="170"/>
      <c r="AJ73" s="232"/>
      <c r="AK73" s="170">
        <f t="shared" si="5"/>
        <v>16794.400000000001</v>
      </c>
      <c r="AL73" s="270">
        <v>0</v>
      </c>
      <c r="AM73" s="170">
        <v>0</v>
      </c>
      <c r="AN73" s="270">
        <v>56</v>
      </c>
      <c r="AO73" s="170">
        <f t="shared" si="2"/>
        <v>16794.400000000001</v>
      </c>
      <c r="AP73" s="233"/>
      <c r="AQ73" s="233"/>
      <c r="AR73" s="170">
        <v>299.89999999999998</v>
      </c>
      <c r="AS73" s="170">
        <f t="shared" si="3"/>
        <v>0</v>
      </c>
      <c r="AT73" s="247">
        <f t="shared" si="6"/>
        <v>0</v>
      </c>
      <c r="AU73" s="386">
        <f t="shared" si="4"/>
        <v>0</v>
      </c>
      <c r="AV73" s="279">
        <v>0</v>
      </c>
    </row>
    <row r="74" spans="1:48" s="62" customFormat="1" ht="25.5" customHeight="1">
      <c r="A74" s="59"/>
      <c r="B74" s="60"/>
      <c r="C74" s="60"/>
      <c r="D74" s="22"/>
      <c r="E74" s="79"/>
      <c r="F74" s="51" t="s">
        <v>55</v>
      </c>
      <c r="G74" s="275" t="s">
        <v>114</v>
      </c>
      <c r="H74" s="115"/>
      <c r="I74" s="115"/>
      <c r="J74" s="115"/>
      <c r="K74" s="115"/>
      <c r="L74" s="276"/>
      <c r="M74" s="277"/>
      <c r="N74" s="276"/>
      <c r="O74" s="115"/>
      <c r="P74" s="276"/>
      <c r="Q74" s="115"/>
      <c r="R74" s="276"/>
      <c r="S74" s="115"/>
      <c r="T74" s="276"/>
      <c r="U74" s="278" t="s">
        <v>263</v>
      </c>
      <c r="V74" s="115"/>
      <c r="W74" s="114"/>
      <c r="X74" s="115"/>
      <c r="Y74" s="221"/>
      <c r="Z74" s="115"/>
      <c r="AA74" s="115"/>
      <c r="AB74" s="22"/>
      <c r="AC74" s="170"/>
      <c r="AD74" s="208"/>
      <c r="AE74" s="170"/>
      <c r="AF74" s="208"/>
      <c r="AG74" s="170"/>
      <c r="AH74" s="208"/>
      <c r="AI74" s="170"/>
      <c r="AJ74" s="233">
        <v>36</v>
      </c>
      <c r="AK74" s="170"/>
      <c r="AL74" s="270"/>
      <c r="AM74" s="170"/>
      <c r="AN74" s="270"/>
      <c r="AO74" s="170"/>
      <c r="AP74" s="233"/>
      <c r="AQ74" s="233"/>
      <c r="AR74" s="170"/>
      <c r="AS74" s="170"/>
      <c r="AT74" s="233">
        <f t="shared" si="6"/>
        <v>0</v>
      </c>
      <c r="AU74" s="386"/>
      <c r="AV74" s="233">
        <v>0</v>
      </c>
    </row>
    <row r="75" spans="1:48" s="62" customFormat="1" ht="25.5" customHeight="1">
      <c r="A75" s="59"/>
      <c r="B75" s="60"/>
      <c r="C75" s="60"/>
      <c r="D75" s="22"/>
      <c r="E75" s="79"/>
      <c r="F75" s="140" t="s">
        <v>55</v>
      </c>
      <c r="G75" s="222" t="s">
        <v>114</v>
      </c>
      <c r="H75" s="115"/>
      <c r="I75" s="115"/>
      <c r="J75" s="115"/>
      <c r="K75" s="115"/>
      <c r="L75" s="276"/>
      <c r="M75" s="277"/>
      <c r="N75" s="276"/>
      <c r="O75" s="115"/>
      <c r="P75" s="276"/>
      <c r="Q75" s="115"/>
      <c r="R75" s="276"/>
      <c r="S75" s="115"/>
      <c r="T75" s="276"/>
      <c r="U75" s="203" t="s">
        <v>262</v>
      </c>
      <c r="V75" s="115"/>
      <c r="W75" s="114"/>
      <c r="X75" s="115"/>
      <c r="Y75" s="221"/>
      <c r="Z75" s="115"/>
      <c r="AA75" s="115"/>
      <c r="AB75" s="22"/>
      <c r="AC75" s="170"/>
      <c r="AD75" s="208"/>
      <c r="AE75" s="170"/>
      <c r="AF75" s="208"/>
      <c r="AG75" s="170"/>
      <c r="AH75" s="208"/>
      <c r="AI75" s="170"/>
      <c r="AJ75" s="232">
        <v>234</v>
      </c>
      <c r="AK75" s="170"/>
      <c r="AL75" s="270"/>
      <c r="AM75" s="170"/>
      <c r="AN75" s="270"/>
      <c r="AO75" s="170"/>
      <c r="AP75" s="233"/>
      <c r="AQ75" s="233"/>
      <c r="AR75" s="170"/>
      <c r="AS75" s="170"/>
      <c r="AT75" s="247">
        <f t="shared" si="6"/>
        <v>164</v>
      </c>
      <c r="AU75" s="386"/>
      <c r="AV75" s="279">
        <v>164</v>
      </c>
    </row>
    <row r="76" spans="1:48" s="62" customFormat="1" ht="25.5" customHeight="1">
      <c r="A76" s="59"/>
      <c r="B76" s="60"/>
      <c r="C76" s="60"/>
      <c r="D76" s="22"/>
      <c r="E76" s="79"/>
      <c r="F76" s="140" t="s">
        <v>55</v>
      </c>
      <c r="G76" s="222" t="s">
        <v>114</v>
      </c>
      <c r="H76" s="115"/>
      <c r="I76" s="115"/>
      <c r="J76" s="115"/>
      <c r="K76" s="115"/>
      <c r="L76" s="276"/>
      <c r="M76" s="277"/>
      <c r="N76" s="276"/>
      <c r="O76" s="115"/>
      <c r="P76" s="276"/>
      <c r="Q76" s="115"/>
      <c r="R76" s="276"/>
      <c r="S76" s="115"/>
      <c r="T76" s="276"/>
      <c r="U76" s="203" t="s">
        <v>263</v>
      </c>
      <c r="V76" s="115"/>
      <c r="W76" s="114"/>
      <c r="X76" s="115"/>
      <c r="Y76" s="221"/>
      <c r="Z76" s="115"/>
      <c r="AA76" s="115"/>
      <c r="AB76" s="22"/>
      <c r="AC76" s="170"/>
      <c r="AD76" s="208"/>
      <c r="AE76" s="170"/>
      <c r="AF76" s="208"/>
      <c r="AG76" s="170"/>
      <c r="AH76" s="208"/>
      <c r="AI76" s="170"/>
      <c r="AJ76" s="232">
        <v>14</v>
      </c>
      <c r="AK76" s="170"/>
      <c r="AL76" s="270"/>
      <c r="AM76" s="170"/>
      <c r="AN76" s="270"/>
      <c r="AO76" s="170"/>
      <c r="AP76" s="233"/>
      <c r="AQ76" s="233"/>
      <c r="AR76" s="170"/>
      <c r="AS76" s="170"/>
      <c r="AT76" s="247">
        <f t="shared" si="6"/>
        <v>0</v>
      </c>
      <c r="AU76" s="386"/>
      <c r="AV76" s="279">
        <v>0</v>
      </c>
    </row>
    <row r="77" spans="1:48" s="62" customFormat="1" ht="25.5" customHeight="1">
      <c r="A77" s="59"/>
      <c r="B77" s="60"/>
      <c r="C77" s="60"/>
      <c r="D77" s="22"/>
      <c r="E77" s="79"/>
      <c r="F77" s="140" t="s">
        <v>55</v>
      </c>
      <c r="G77" s="222" t="s">
        <v>114</v>
      </c>
      <c r="H77" s="115"/>
      <c r="I77" s="115"/>
      <c r="J77" s="115"/>
      <c r="K77" s="115"/>
      <c r="L77" s="276"/>
      <c r="M77" s="277"/>
      <c r="N77" s="276"/>
      <c r="O77" s="115"/>
      <c r="P77" s="276"/>
      <c r="Q77" s="115"/>
      <c r="R77" s="276"/>
      <c r="S77" s="115"/>
      <c r="T77" s="276"/>
      <c r="U77" s="203" t="s">
        <v>283</v>
      </c>
      <c r="V77" s="115"/>
      <c r="W77" s="114"/>
      <c r="X77" s="115"/>
      <c r="Y77" s="221"/>
      <c r="Z77" s="115"/>
      <c r="AA77" s="115"/>
      <c r="AB77" s="22"/>
      <c r="AC77" s="170"/>
      <c r="AD77" s="208"/>
      <c r="AE77" s="170"/>
      <c r="AF77" s="208"/>
      <c r="AG77" s="170"/>
      <c r="AH77" s="208"/>
      <c r="AI77" s="170"/>
      <c r="AJ77" s="232">
        <v>76</v>
      </c>
      <c r="AK77" s="170"/>
      <c r="AL77" s="270"/>
      <c r="AM77" s="170"/>
      <c r="AN77" s="270"/>
      <c r="AO77" s="170"/>
      <c r="AP77" s="233"/>
      <c r="AQ77" s="233"/>
      <c r="AR77" s="170"/>
      <c r="AS77" s="170"/>
      <c r="AT77" s="247">
        <f t="shared" si="6"/>
        <v>76</v>
      </c>
      <c r="AU77" s="386"/>
      <c r="AV77" s="279">
        <v>76</v>
      </c>
    </row>
    <row r="78" spans="1:48" s="62" customFormat="1" ht="25.5" customHeight="1">
      <c r="A78" s="59"/>
      <c r="B78" s="60"/>
      <c r="C78" s="60"/>
      <c r="D78" s="22"/>
      <c r="E78" s="79" t="s">
        <v>24</v>
      </c>
      <c r="F78" s="173" t="s">
        <v>64</v>
      </c>
      <c r="G78" s="222" t="s">
        <v>140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157</v>
      </c>
      <c r="V78" s="115">
        <v>605</v>
      </c>
      <c r="W78" s="114">
        <v>43193</v>
      </c>
      <c r="X78" s="193">
        <v>97</v>
      </c>
      <c r="Y78" s="200">
        <v>43202</v>
      </c>
      <c r="Z78" s="193" t="s">
        <v>158</v>
      </c>
      <c r="AA78" s="200">
        <v>43216</v>
      </c>
      <c r="AB78" s="22">
        <v>0</v>
      </c>
      <c r="AC78" s="170">
        <v>0</v>
      </c>
      <c r="AD78" s="209">
        <v>510</v>
      </c>
      <c r="AE78" s="194">
        <v>152949</v>
      </c>
      <c r="AF78" s="209"/>
      <c r="AG78" s="194"/>
      <c r="AH78" s="209"/>
      <c r="AI78" s="194"/>
      <c r="AJ78" s="232"/>
      <c r="AK78" s="170">
        <f t="shared" si="5"/>
        <v>152949</v>
      </c>
      <c r="AL78" s="272">
        <v>0</v>
      </c>
      <c r="AM78" s="212">
        <v>0</v>
      </c>
      <c r="AN78" s="269">
        <v>510</v>
      </c>
      <c r="AO78" s="217">
        <f t="shared" si="2"/>
        <v>152949</v>
      </c>
      <c r="AP78" s="232"/>
      <c r="AQ78" s="229"/>
      <c r="AR78" s="212">
        <v>299.89999999999998</v>
      </c>
      <c r="AS78" s="212">
        <f t="shared" si="3"/>
        <v>0</v>
      </c>
      <c r="AT78" s="247">
        <f t="shared" si="6"/>
        <v>0</v>
      </c>
      <c r="AU78" s="228">
        <f t="shared" si="4"/>
        <v>0</v>
      </c>
      <c r="AV78" s="279">
        <v>0</v>
      </c>
    </row>
    <row r="79" spans="1:48" s="62" customFormat="1" ht="25.5" customHeight="1">
      <c r="A79" s="59"/>
      <c r="B79" s="60"/>
      <c r="C79" s="60"/>
      <c r="D79" s="22"/>
      <c r="E79" s="79"/>
      <c r="F79" s="173" t="s">
        <v>64</v>
      </c>
      <c r="G79" s="222" t="s">
        <v>140</v>
      </c>
      <c r="H79" s="193"/>
      <c r="I79" s="193"/>
      <c r="J79" s="193"/>
      <c r="K79" s="193"/>
      <c r="L79" s="243"/>
      <c r="M79" s="242"/>
      <c r="N79" s="243"/>
      <c r="O79" s="193"/>
      <c r="P79" s="243"/>
      <c r="Q79" s="193"/>
      <c r="R79" s="243"/>
      <c r="S79" s="193"/>
      <c r="T79" s="243"/>
      <c r="U79" s="203" t="s">
        <v>244</v>
      </c>
      <c r="V79" s="115"/>
      <c r="W79" s="114"/>
      <c r="X79" s="193"/>
      <c r="Y79" s="200"/>
      <c r="Z79" s="193"/>
      <c r="AA79" s="200"/>
      <c r="AB79" s="22"/>
      <c r="AC79" s="170"/>
      <c r="AD79" s="209"/>
      <c r="AE79" s="194"/>
      <c r="AF79" s="209"/>
      <c r="AG79" s="194"/>
      <c r="AH79" s="209"/>
      <c r="AI79" s="194"/>
      <c r="AJ79" s="232"/>
      <c r="AK79" s="170"/>
      <c r="AL79" s="272"/>
      <c r="AM79" s="212"/>
      <c r="AN79" s="269"/>
      <c r="AO79" s="217"/>
      <c r="AP79" s="232"/>
      <c r="AQ79" s="229"/>
      <c r="AR79" s="212"/>
      <c r="AS79" s="212"/>
      <c r="AT79" s="247">
        <f t="shared" si="6"/>
        <v>356</v>
      </c>
      <c r="AU79" s="228"/>
      <c r="AV79" s="279">
        <v>356</v>
      </c>
    </row>
    <row r="80" spans="1:48" s="62" customFormat="1" ht="25.5" customHeight="1">
      <c r="A80" s="59"/>
      <c r="B80" s="60"/>
      <c r="C80" s="60"/>
      <c r="D80" s="22"/>
      <c r="E80" s="79"/>
      <c r="F80" s="173" t="s">
        <v>64</v>
      </c>
      <c r="G80" s="222" t="s">
        <v>140</v>
      </c>
      <c r="H80" s="193"/>
      <c r="I80" s="193"/>
      <c r="J80" s="193"/>
      <c r="K80" s="193"/>
      <c r="L80" s="243"/>
      <c r="M80" s="242"/>
      <c r="N80" s="243"/>
      <c r="O80" s="193"/>
      <c r="P80" s="243"/>
      <c r="Q80" s="193"/>
      <c r="R80" s="243"/>
      <c r="S80" s="193"/>
      <c r="T80" s="243"/>
      <c r="U80" s="203" t="s">
        <v>264</v>
      </c>
      <c r="V80" s="115"/>
      <c r="W80" s="114"/>
      <c r="X80" s="193"/>
      <c r="Y80" s="200"/>
      <c r="Z80" s="193"/>
      <c r="AA80" s="200"/>
      <c r="AB80" s="22"/>
      <c r="AC80" s="170"/>
      <c r="AD80" s="209"/>
      <c r="AE80" s="194"/>
      <c r="AF80" s="209"/>
      <c r="AG80" s="194"/>
      <c r="AH80" s="209"/>
      <c r="AI80" s="194"/>
      <c r="AJ80" s="232">
        <v>224</v>
      </c>
      <c r="AK80" s="170"/>
      <c r="AL80" s="272"/>
      <c r="AM80" s="212"/>
      <c r="AN80" s="269"/>
      <c r="AO80" s="217"/>
      <c r="AP80" s="232"/>
      <c r="AQ80" s="229"/>
      <c r="AR80" s="212"/>
      <c r="AS80" s="212"/>
      <c r="AT80" s="247">
        <f t="shared" si="6"/>
        <v>224</v>
      </c>
      <c r="AU80" s="228"/>
      <c r="AV80" s="279">
        <v>224</v>
      </c>
    </row>
    <row r="81" spans="1:48" s="62" customFormat="1" ht="25.5" customHeight="1">
      <c r="A81" s="59"/>
      <c r="B81" s="60"/>
      <c r="C81" s="60"/>
      <c r="D81" s="22"/>
      <c r="E81" s="79"/>
      <c r="F81" s="173" t="s">
        <v>64</v>
      </c>
      <c r="G81" s="222" t="s">
        <v>140</v>
      </c>
      <c r="H81" s="193"/>
      <c r="I81" s="193"/>
      <c r="J81" s="193"/>
      <c r="K81" s="193"/>
      <c r="L81" s="243"/>
      <c r="M81" s="242"/>
      <c r="N81" s="243"/>
      <c r="O81" s="193"/>
      <c r="P81" s="243"/>
      <c r="Q81" s="193"/>
      <c r="R81" s="243"/>
      <c r="S81" s="193"/>
      <c r="T81" s="243"/>
      <c r="U81" s="203" t="s">
        <v>244</v>
      </c>
      <c r="V81" s="115"/>
      <c r="W81" s="114"/>
      <c r="X81" s="193"/>
      <c r="Y81" s="200"/>
      <c r="Z81" s="193"/>
      <c r="AA81" s="200"/>
      <c r="AB81" s="22"/>
      <c r="AC81" s="170"/>
      <c r="AD81" s="209"/>
      <c r="AE81" s="194"/>
      <c r="AF81" s="209"/>
      <c r="AG81" s="194"/>
      <c r="AH81" s="209"/>
      <c r="AI81" s="194"/>
      <c r="AJ81" s="232">
        <v>176</v>
      </c>
      <c r="AK81" s="170"/>
      <c r="AL81" s="272"/>
      <c r="AM81" s="212"/>
      <c r="AN81" s="269"/>
      <c r="AO81" s="217"/>
      <c r="AP81" s="232"/>
      <c r="AQ81" s="229"/>
      <c r="AR81" s="212"/>
      <c r="AS81" s="212"/>
      <c r="AT81" s="247">
        <f t="shared" si="6"/>
        <v>176</v>
      </c>
      <c r="AU81" s="228"/>
      <c r="AV81" s="279">
        <v>176</v>
      </c>
    </row>
    <row r="82" spans="1:48" s="62" customFormat="1" ht="25.5" customHeight="1">
      <c r="A82" s="59"/>
      <c r="B82" s="60"/>
      <c r="C82" s="60"/>
      <c r="D82" s="22"/>
      <c r="E82" s="79"/>
      <c r="F82" s="173" t="s">
        <v>64</v>
      </c>
      <c r="G82" s="222" t="s">
        <v>140</v>
      </c>
      <c r="H82" s="193"/>
      <c r="I82" s="193"/>
      <c r="J82" s="193"/>
      <c r="K82" s="193"/>
      <c r="L82" s="243"/>
      <c r="M82" s="242"/>
      <c r="N82" s="243"/>
      <c r="O82" s="193"/>
      <c r="P82" s="243"/>
      <c r="Q82" s="193"/>
      <c r="R82" s="243"/>
      <c r="S82" s="193"/>
      <c r="T82" s="243"/>
      <c r="U82" s="203" t="s">
        <v>285</v>
      </c>
      <c r="V82" s="115"/>
      <c r="W82" s="114"/>
      <c r="X82" s="193"/>
      <c r="Y82" s="200"/>
      <c r="Z82" s="193"/>
      <c r="AA82" s="200"/>
      <c r="AB82" s="22"/>
      <c r="AC82" s="170"/>
      <c r="AD82" s="209"/>
      <c r="AE82" s="194"/>
      <c r="AF82" s="209"/>
      <c r="AG82" s="194"/>
      <c r="AH82" s="209"/>
      <c r="AI82" s="194"/>
      <c r="AJ82" s="232">
        <v>154</v>
      </c>
      <c r="AK82" s="170"/>
      <c r="AL82" s="272"/>
      <c r="AM82" s="212"/>
      <c r="AN82" s="269"/>
      <c r="AO82" s="217"/>
      <c r="AP82" s="232"/>
      <c r="AQ82" s="229"/>
      <c r="AR82" s="212"/>
      <c r="AS82" s="212"/>
      <c r="AT82" s="247">
        <f t="shared" si="6"/>
        <v>154</v>
      </c>
      <c r="AU82" s="228"/>
      <c r="AV82" s="279">
        <v>154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293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>
        <v>84</v>
      </c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ref="AT83:AT93" si="9">AV83</f>
        <v>84</v>
      </c>
      <c r="AU83" s="228"/>
      <c r="AV83" s="279">
        <v>84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293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48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9"/>
        <v>48</v>
      </c>
      <c r="AU84" s="228"/>
      <c r="AV84" s="279">
        <v>48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323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36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9"/>
        <v>36</v>
      </c>
      <c r="AU85" s="228"/>
      <c r="AV85" s="279">
        <v>36</v>
      </c>
    </row>
    <row r="86" spans="1:48" s="62" customFormat="1" ht="31.5">
      <c r="A86" s="59"/>
      <c r="B86" s="60"/>
      <c r="C86" s="60"/>
      <c r="D86" s="22"/>
      <c r="E86" s="79"/>
      <c r="F86" s="51" t="s">
        <v>57</v>
      </c>
      <c r="G86" s="275" t="s">
        <v>121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266</v>
      </c>
      <c r="V86" s="115"/>
      <c r="W86" s="114"/>
      <c r="X86" s="115"/>
      <c r="Y86" s="221"/>
      <c r="Z86" s="115"/>
      <c r="AA86" s="221"/>
      <c r="AB86" s="22"/>
      <c r="AC86" s="170"/>
      <c r="AD86" s="208"/>
      <c r="AE86" s="170"/>
      <c r="AF86" s="208"/>
      <c r="AG86" s="170"/>
      <c r="AH86" s="208"/>
      <c r="AI86" s="170"/>
      <c r="AJ86" s="233">
        <v>766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33">
        <f t="shared" si="9"/>
        <v>0</v>
      </c>
      <c r="AU86" s="386"/>
      <c r="AV86" s="233">
        <v>0</v>
      </c>
    </row>
    <row r="87" spans="1:48" s="62" customFormat="1" ht="31.5">
      <c r="A87" s="59"/>
      <c r="B87" s="60"/>
      <c r="C87" s="60"/>
      <c r="D87" s="22"/>
      <c r="E87" s="79"/>
      <c r="F87" s="51" t="s">
        <v>57</v>
      </c>
      <c r="G87" s="275" t="s">
        <v>121</v>
      </c>
      <c r="H87" s="115"/>
      <c r="I87" s="115"/>
      <c r="J87" s="115"/>
      <c r="K87" s="115"/>
      <c r="L87" s="276"/>
      <c r="M87" s="277"/>
      <c r="N87" s="276"/>
      <c r="O87" s="115"/>
      <c r="P87" s="276"/>
      <c r="Q87" s="115"/>
      <c r="R87" s="276"/>
      <c r="S87" s="115"/>
      <c r="T87" s="276"/>
      <c r="U87" s="278" t="s">
        <v>266</v>
      </c>
      <c r="V87" s="115"/>
      <c r="W87" s="114"/>
      <c r="X87" s="115"/>
      <c r="Y87" s="221"/>
      <c r="Z87" s="115"/>
      <c r="AA87" s="221"/>
      <c r="AB87" s="22"/>
      <c r="AC87" s="170"/>
      <c r="AD87" s="208"/>
      <c r="AE87" s="170"/>
      <c r="AF87" s="208"/>
      <c r="AG87" s="170"/>
      <c r="AH87" s="208"/>
      <c r="AI87" s="170"/>
      <c r="AJ87" s="233">
        <v>450</v>
      </c>
      <c r="AK87" s="170"/>
      <c r="AL87" s="270"/>
      <c r="AM87" s="170"/>
      <c r="AN87" s="270"/>
      <c r="AO87" s="170"/>
      <c r="AP87" s="233"/>
      <c r="AQ87" s="233"/>
      <c r="AR87" s="170"/>
      <c r="AS87" s="170"/>
      <c r="AT87" s="233">
        <f t="shared" si="9"/>
        <v>0</v>
      </c>
      <c r="AU87" s="386"/>
      <c r="AV87" s="233">
        <v>0</v>
      </c>
    </row>
    <row r="88" spans="1:48" s="62" customFormat="1" ht="31.5">
      <c r="A88" s="59"/>
      <c r="B88" s="60"/>
      <c r="C88" s="60"/>
      <c r="D88" s="22"/>
      <c r="E88" s="79"/>
      <c r="F88" s="150" t="s">
        <v>57</v>
      </c>
      <c r="G88" s="222" t="s">
        <v>279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266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610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26</v>
      </c>
      <c r="AU88" s="228"/>
      <c r="AV88" s="279">
        <v>26</v>
      </c>
    </row>
    <row r="89" spans="1:48" s="62" customFormat="1" ht="31.5">
      <c r="A89" s="59"/>
      <c r="B89" s="60"/>
      <c r="C89" s="60"/>
      <c r="D89" s="22"/>
      <c r="E89" s="79"/>
      <c r="F89" s="150" t="s">
        <v>57</v>
      </c>
      <c r="G89" s="222" t="s">
        <v>279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284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723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723</v>
      </c>
      <c r="AU89" s="228"/>
      <c r="AV89" s="279">
        <v>723</v>
      </c>
    </row>
    <row r="90" spans="1:48" s="62" customFormat="1" ht="31.5">
      <c r="A90" s="59"/>
      <c r="B90" s="60"/>
      <c r="C90" s="60"/>
      <c r="D90" s="22"/>
      <c r="E90" s="79"/>
      <c r="F90" s="150" t="s">
        <v>57</v>
      </c>
      <c r="G90" s="222" t="s">
        <v>279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311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724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9"/>
        <v>724</v>
      </c>
      <c r="AU90" s="228"/>
      <c r="AV90" s="279">
        <v>724</v>
      </c>
    </row>
    <row r="91" spans="1:48" s="62" customFormat="1" ht="31.5">
      <c r="A91" s="59"/>
      <c r="B91" s="60"/>
      <c r="C91" s="60"/>
      <c r="D91" s="22"/>
      <c r="E91" s="79"/>
      <c r="F91" s="150" t="s">
        <v>57</v>
      </c>
      <c r="G91" s="222" t="s">
        <v>279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311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726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9"/>
        <v>726</v>
      </c>
      <c r="AU91" s="228"/>
      <c r="AV91" s="279">
        <v>726</v>
      </c>
    </row>
    <row r="92" spans="1:48" s="62" customFormat="1" ht="26.25" customHeight="1">
      <c r="A92" s="59"/>
      <c r="B92" s="60"/>
      <c r="C92" s="60"/>
      <c r="D92" s="22"/>
      <c r="E92" s="79" t="s">
        <v>24</v>
      </c>
      <c r="F92" s="161" t="s">
        <v>61</v>
      </c>
      <c r="G92" s="222" t="s">
        <v>127</v>
      </c>
      <c r="H92" s="193" t="s">
        <v>91</v>
      </c>
      <c r="I92" s="193" t="s">
        <v>91</v>
      </c>
      <c r="J92" s="193">
        <v>48</v>
      </c>
      <c r="K92" s="193">
        <v>3</v>
      </c>
      <c r="L92" s="243">
        <v>71.97</v>
      </c>
      <c r="M92" s="242">
        <f t="shared" ref="M92:M93" si="10">J92*K92</f>
        <v>144</v>
      </c>
      <c r="N92" s="243">
        <f t="shared" ref="N92:N93" si="11">L92*M92</f>
        <v>10363.68</v>
      </c>
      <c r="O92" s="193">
        <v>14</v>
      </c>
      <c r="P92" s="243">
        <v>714.98</v>
      </c>
      <c r="Q92" s="193"/>
      <c r="R92" s="243"/>
      <c r="S92" s="193"/>
      <c r="T92" s="243"/>
      <c r="U92" s="203" t="s">
        <v>128</v>
      </c>
      <c r="V92" s="115">
        <v>135</v>
      </c>
      <c r="W92" s="114">
        <v>42761</v>
      </c>
      <c r="X92" s="193" t="s">
        <v>126</v>
      </c>
      <c r="Y92" s="200">
        <v>43130</v>
      </c>
      <c r="Z92" s="193"/>
      <c r="AA92" s="193"/>
      <c r="AB92" s="22">
        <v>0</v>
      </c>
      <c r="AC92" s="170">
        <v>0</v>
      </c>
      <c r="AD92" s="209">
        <v>14</v>
      </c>
      <c r="AE92" s="194">
        <v>774.48</v>
      </c>
      <c r="AF92" s="209"/>
      <c r="AG92" s="194"/>
      <c r="AH92" s="209"/>
      <c r="AI92" s="194"/>
      <c r="AJ92" s="232"/>
      <c r="AK92" s="170">
        <f t="shared" si="5"/>
        <v>774.48</v>
      </c>
      <c r="AL92" s="272">
        <v>0</v>
      </c>
      <c r="AM92" s="212">
        <v>0</v>
      </c>
      <c r="AN92" s="269">
        <v>14</v>
      </c>
      <c r="AO92" s="217">
        <f t="shared" ref="AO92:AO93" si="12">AC92+AK92-AM92</f>
        <v>774.48</v>
      </c>
      <c r="AP92" s="232"/>
      <c r="AQ92" s="229"/>
      <c r="AR92" s="212">
        <v>55.32</v>
      </c>
      <c r="AS92" s="212">
        <f t="shared" si="3"/>
        <v>0</v>
      </c>
      <c r="AT92" s="247">
        <f t="shared" si="9"/>
        <v>10</v>
      </c>
      <c r="AU92" s="228">
        <f t="shared" si="4"/>
        <v>553.20000000000005</v>
      </c>
      <c r="AV92" s="279">
        <v>10</v>
      </c>
    </row>
    <row r="93" spans="1:48" s="62" customFormat="1" ht="26.25" customHeight="1">
      <c r="A93" s="59"/>
      <c r="B93" s="60"/>
      <c r="C93" s="60"/>
      <c r="D93" s="22"/>
      <c r="E93" s="79" t="s">
        <v>24</v>
      </c>
      <c r="F93" s="161" t="s">
        <v>61</v>
      </c>
      <c r="G93" s="222" t="s">
        <v>127</v>
      </c>
      <c r="H93" s="193" t="s">
        <v>91</v>
      </c>
      <c r="I93" s="193" t="s">
        <v>91</v>
      </c>
      <c r="J93" s="193"/>
      <c r="K93" s="193"/>
      <c r="L93" s="243"/>
      <c r="M93" s="242">
        <f t="shared" si="10"/>
        <v>0</v>
      </c>
      <c r="N93" s="243">
        <f t="shared" si="11"/>
        <v>0</v>
      </c>
      <c r="O93" s="193"/>
      <c r="P93" s="243"/>
      <c r="Q93" s="193"/>
      <c r="R93" s="243"/>
      <c r="S93" s="193"/>
      <c r="T93" s="243"/>
      <c r="U93" s="203" t="s">
        <v>171</v>
      </c>
      <c r="V93" s="115">
        <v>834</v>
      </c>
      <c r="W93" s="114">
        <v>43222</v>
      </c>
      <c r="X93" s="193" t="s">
        <v>162</v>
      </c>
      <c r="Y93" s="200">
        <v>43242</v>
      </c>
      <c r="Z93" s="193"/>
      <c r="AA93" s="193"/>
      <c r="AB93" s="22">
        <v>0</v>
      </c>
      <c r="AC93" s="170">
        <v>0</v>
      </c>
      <c r="AD93" s="209">
        <v>26</v>
      </c>
      <c r="AE93" s="194">
        <v>1438.32</v>
      </c>
      <c r="AF93" s="209"/>
      <c r="AG93" s="194"/>
      <c r="AH93" s="209"/>
      <c r="AI93" s="194"/>
      <c r="AJ93" s="232"/>
      <c r="AK93" s="170">
        <f t="shared" si="5"/>
        <v>1438.32</v>
      </c>
      <c r="AL93" s="272">
        <v>0</v>
      </c>
      <c r="AM93" s="212">
        <v>0</v>
      </c>
      <c r="AN93" s="269">
        <v>26</v>
      </c>
      <c r="AO93" s="217">
        <f t="shared" si="12"/>
        <v>1438.32</v>
      </c>
      <c r="AP93" s="232"/>
      <c r="AQ93" s="229"/>
      <c r="AR93" s="212">
        <v>55.32</v>
      </c>
      <c r="AS93" s="212">
        <f t="shared" si="3"/>
        <v>0</v>
      </c>
      <c r="AT93" s="247">
        <f t="shared" si="9"/>
        <v>26</v>
      </c>
      <c r="AU93" s="228">
        <f t="shared" si="4"/>
        <v>1438.32</v>
      </c>
      <c r="AV93" s="279">
        <v>26</v>
      </c>
    </row>
    <row r="94" spans="1:48" s="251" customFormat="1" ht="21" customHeight="1">
      <c r="A94" s="20" t="s">
        <v>11</v>
      </c>
      <c r="B94" s="20"/>
      <c r="C94" s="20"/>
      <c r="D94" s="695" t="s">
        <v>34</v>
      </c>
      <c r="E94" s="696"/>
      <c r="F94" s="697"/>
      <c r="G94" s="246"/>
      <c r="H94" s="246"/>
      <c r="I94" s="246"/>
      <c r="J94" s="246"/>
      <c r="K94" s="247">
        <f>SUM(K17:K93)</f>
        <v>24</v>
      </c>
      <c r="L94" s="248"/>
      <c r="M94" s="246"/>
      <c r="N94" s="249">
        <f>SUM(N17:N93)</f>
        <v>2156307.44</v>
      </c>
      <c r="O94" s="248"/>
      <c r="P94" s="249">
        <f>SUM(P17:P93)</f>
        <v>1298976.4000000001</v>
      </c>
      <c r="Q94" s="248"/>
      <c r="R94" s="249">
        <f>SUM(R17:R93)</f>
        <v>928054.79999999993</v>
      </c>
      <c r="S94" s="248"/>
      <c r="T94" s="249">
        <f>SUM(T17:T93)</f>
        <v>466648.98</v>
      </c>
      <c r="U94" s="291" t="s">
        <v>156</v>
      </c>
      <c r="V94" s="291" t="s">
        <v>156</v>
      </c>
      <c r="W94" s="291" t="s">
        <v>156</v>
      </c>
      <c r="X94" s="250" t="s">
        <v>156</v>
      </c>
      <c r="Y94" s="250" t="s">
        <v>156</v>
      </c>
      <c r="Z94" s="250" t="s">
        <v>156</v>
      </c>
      <c r="AA94" s="250" t="s">
        <v>156</v>
      </c>
      <c r="AB94" s="176">
        <f>SUM(AB17:AB46)</f>
        <v>140</v>
      </c>
      <c r="AC94" s="171">
        <f>SUM(AC17:AC72)</f>
        <v>77947.959999999992</v>
      </c>
      <c r="AD94" s="210">
        <f t="shared" ref="AD94:AQ94" si="13">SUM(AD17:AD93)</f>
        <v>4914</v>
      </c>
      <c r="AE94" s="195">
        <f t="shared" si="13"/>
        <v>1078752.51</v>
      </c>
      <c r="AF94" s="210">
        <f t="shared" si="13"/>
        <v>0</v>
      </c>
      <c r="AG94" s="195">
        <f t="shared" si="13"/>
        <v>0</v>
      </c>
      <c r="AH94" s="210">
        <f t="shared" si="13"/>
        <v>0</v>
      </c>
      <c r="AI94" s="195">
        <f t="shared" si="13"/>
        <v>0</v>
      </c>
      <c r="AJ94" s="210">
        <f t="shared" si="13"/>
        <v>7524</v>
      </c>
      <c r="AK94" s="175">
        <f t="shared" si="13"/>
        <v>1078752.51</v>
      </c>
      <c r="AL94" s="213">
        <f t="shared" si="13"/>
        <v>742</v>
      </c>
      <c r="AM94" s="214">
        <f t="shared" si="13"/>
        <v>175808.55000000005</v>
      </c>
      <c r="AN94" s="218">
        <f t="shared" si="13"/>
        <v>4312</v>
      </c>
      <c r="AO94" s="219">
        <f t="shared" si="13"/>
        <v>964298.99000000011</v>
      </c>
      <c r="AP94" s="286">
        <f t="shared" si="13"/>
        <v>0</v>
      </c>
      <c r="AQ94" s="287">
        <f t="shared" si="13"/>
        <v>0</v>
      </c>
      <c r="AR94" s="226" t="s">
        <v>156</v>
      </c>
      <c r="AS94" s="226">
        <f>SUM(AS17:AS93)</f>
        <v>0</v>
      </c>
      <c r="AT94" s="227">
        <f>SUM(AT17:AT93)</f>
        <v>8035</v>
      </c>
      <c r="AU94" s="228">
        <f>SUM(AU17:AU93)</f>
        <v>557191.07999999996</v>
      </c>
      <c r="AV94" s="510">
        <f>SUM(AV17:AV93)</f>
        <v>8035</v>
      </c>
    </row>
    <row r="95" spans="1:48" s="336" customFormat="1" ht="21" customHeight="1">
      <c r="A95" s="20"/>
      <c r="B95" s="20"/>
      <c r="C95" s="20"/>
      <c r="D95" s="294"/>
      <c r="E95" s="294"/>
      <c r="F95" s="294"/>
      <c r="G95" s="330"/>
      <c r="H95" s="330"/>
      <c r="I95" s="330"/>
      <c r="J95" s="330"/>
      <c r="K95" s="331"/>
      <c r="L95" s="332"/>
      <c r="M95" s="330"/>
      <c r="N95" s="333"/>
      <c r="O95" s="332"/>
      <c r="P95" s="333"/>
      <c r="Q95" s="332"/>
      <c r="R95" s="333"/>
      <c r="S95" s="332"/>
      <c r="T95" s="333"/>
      <c r="U95" s="295"/>
      <c r="V95" s="295"/>
      <c r="W95" s="295"/>
      <c r="X95" s="295"/>
      <c r="Y95" s="295"/>
      <c r="Z95" s="295"/>
      <c r="AA95" s="295"/>
      <c r="AB95" s="296"/>
      <c r="AC95" s="297"/>
      <c r="AD95" s="296"/>
      <c r="AE95" s="297"/>
      <c r="AF95" s="296"/>
      <c r="AG95" s="297"/>
      <c r="AH95" s="296"/>
      <c r="AI95" s="297"/>
      <c r="AJ95" s="478"/>
      <c r="AK95" s="299"/>
      <c r="AL95" s="334"/>
      <c r="AM95" s="297"/>
      <c r="AN95" s="296"/>
      <c r="AO95" s="297"/>
      <c r="AP95" s="298"/>
      <c r="AQ95" s="335"/>
      <c r="AR95" s="333"/>
      <c r="AS95" s="333"/>
      <c r="AT95" s="331"/>
      <c r="AU95" s="333"/>
      <c r="AV95" s="331"/>
    </row>
    <row r="96" spans="1:48" s="336" customFormat="1" ht="21" hidden="1" customHeight="1">
      <c r="A96" s="20"/>
      <c r="B96" s="20"/>
      <c r="C96" s="20"/>
      <c r="D96" s="294"/>
      <c r="E96" s="294"/>
      <c r="F96" s="294"/>
      <c r="G96" s="330"/>
      <c r="H96" s="330"/>
      <c r="I96" s="330"/>
      <c r="J96" s="330"/>
      <c r="K96" s="331"/>
      <c r="L96" s="332"/>
      <c r="M96" s="330"/>
      <c r="N96" s="333"/>
      <c r="O96" s="332"/>
      <c r="P96" s="333"/>
      <c r="Q96" s="332"/>
      <c r="R96" s="333"/>
      <c r="S96" s="332"/>
      <c r="T96" s="333"/>
      <c r="U96" s="295"/>
      <c r="V96" s="295"/>
      <c r="W96" s="295"/>
      <c r="X96" s="295"/>
      <c r="Y96" s="295"/>
      <c r="Z96" s="295"/>
      <c r="AA96" s="295"/>
      <c r="AB96" s="296"/>
      <c r="AC96" s="297"/>
      <c r="AD96" s="296"/>
      <c r="AE96" s="297"/>
      <c r="AF96" s="296"/>
      <c r="AG96" s="297"/>
      <c r="AH96" s="296"/>
      <c r="AI96" s="297"/>
      <c r="AJ96" s="478"/>
      <c r="AK96" s="299"/>
      <c r="AL96" s="334"/>
      <c r="AM96" s="297"/>
      <c r="AN96" s="296"/>
      <c r="AO96" s="297"/>
      <c r="AP96" s="298"/>
      <c r="AQ96" s="335"/>
      <c r="AR96" s="333"/>
      <c r="AS96" s="333"/>
      <c r="AT96" s="331"/>
      <c r="AU96" s="333"/>
      <c r="AV96" s="331"/>
    </row>
    <row r="97" spans="1:48" s="292" customFormat="1" ht="20.25" hidden="1">
      <c r="A97" s="301"/>
      <c r="B97" s="301"/>
      <c r="C97" s="301"/>
      <c r="D97" s="302"/>
      <c r="E97" s="301"/>
      <c r="F97" s="303" t="s">
        <v>205</v>
      </c>
      <c r="G97" s="303"/>
      <c r="H97" s="303" t="s">
        <v>208</v>
      </c>
      <c r="I97" s="303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3"/>
      <c r="V97" s="303"/>
      <c r="X97" s="303"/>
      <c r="Y97" s="303"/>
      <c r="Z97" s="303"/>
      <c r="AA97" s="303" t="s">
        <v>208</v>
      </c>
      <c r="AB97" s="303"/>
      <c r="AC97" s="303"/>
      <c r="AD97" s="303"/>
      <c r="AE97" s="303"/>
      <c r="AF97" s="303"/>
      <c r="AG97" s="303"/>
      <c r="AH97" s="303"/>
      <c r="AI97" s="303"/>
      <c r="AJ97" s="479"/>
      <c r="AK97" s="303"/>
      <c r="AL97" s="301"/>
      <c r="AM97" s="30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20.25" hidden="1">
      <c r="A98" s="301"/>
      <c r="B98" s="301"/>
      <c r="C98" s="301"/>
      <c r="D98" s="302"/>
      <c r="E98" s="301"/>
      <c r="F98" s="303"/>
      <c r="G98" s="303"/>
      <c r="H98" s="303"/>
      <c r="I98" s="303"/>
      <c r="J98" s="304"/>
      <c r="K98" s="304"/>
      <c r="L98" s="304"/>
      <c r="M98" s="304"/>
      <c r="N98" s="304"/>
      <c r="O98" s="304"/>
      <c r="P98" s="304"/>
      <c r="Q98" s="304"/>
      <c r="R98" s="304"/>
      <c r="S98" s="304"/>
      <c r="T98" s="304"/>
      <c r="U98" s="303"/>
      <c r="V98" s="303"/>
      <c r="X98" s="303"/>
      <c r="Y98" s="303"/>
      <c r="Z98" s="303"/>
      <c r="AA98" s="303"/>
      <c r="AB98" s="303"/>
      <c r="AC98" s="303"/>
      <c r="AD98" s="303"/>
      <c r="AE98" s="303"/>
      <c r="AF98" s="303"/>
      <c r="AG98" s="303"/>
      <c r="AH98" s="303"/>
      <c r="AI98" s="303"/>
      <c r="AJ98" s="479"/>
      <c r="AK98" s="303"/>
      <c r="AL98" s="301"/>
      <c r="AM98" s="303"/>
      <c r="AN98" s="305"/>
      <c r="AO98" s="306"/>
      <c r="AP98" s="307"/>
      <c r="AQ98" s="302"/>
      <c r="AR98" s="308"/>
      <c r="AS98" s="308"/>
      <c r="AT98" s="302"/>
      <c r="AU98" s="302"/>
      <c r="AV98" s="302"/>
    </row>
    <row r="99" spans="1:48" s="292" customFormat="1" ht="20.25" hidden="1">
      <c r="A99" s="301"/>
      <c r="B99" s="301"/>
      <c r="C99" s="301"/>
      <c r="D99" s="302"/>
      <c r="E99" s="301"/>
      <c r="F99" s="303"/>
      <c r="G99" s="303"/>
      <c r="H99" s="303"/>
      <c r="I99" s="303"/>
      <c r="J99" s="304"/>
      <c r="K99" s="304"/>
      <c r="L99" s="304"/>
      <c r="M99" s="304"/>
      <c r="N99" s="304"/>
      <c r="O99" s="304"/>
      <c r="P99" s="304"/>
      <c r="Q99" s="304"/>
      <c r="R99" s="304"/>
      <c r="S99" s="304"/>
      <c r="T99" s="304"/>
      <c r="U99" s="303"/>
      <c r="V99" s="303"/>
      <c r="X99" s="303"/>
      <c r="Y99" s="303"/>
      <c r="Z99" s="303"/>
      <c r="AA99" s="303"/>
      <c r="AB99" s="303"/>
      <c r="AC99" s="303"/>
      <c r="AD99" s="303"/>
      <c r="AE99" s="303"/>
      <c r="AF99" s="303"/>
      <c r="AG99" s="303"/>
      <c r="AH99" s="303"/>
      <c r="AI99" s="303"/>
      <c r="AJ99" s="479"/>
      <c r="AK99" s="303"/>
      <c r="AL99" s="301"/>
      <c r="AM99" s="303"/>
      <c r="AN99" s="305"/>
      <c r="AO99" s="306"/>
      <c r="AP99" s="307"/>
      <c r="AQ99" s="302"/>
      <c r="AR99" s="308"/>
      <c r="AS99" s="308"/>
      <c r="AT99" s="302"/>
      <c r="AU99" s="302"/>
      <c r="AV99" s="302"/>
    </row>
    <row r="100" spans="1:48" s="292" customFormat="1" ht="15" hidden="1" customHeight="1">
      <c r="A100" s="309"/>
      <c r="B100" s="309"/>
      <c r="C100" s="309"/>
      <c r="D100" s="302"/>
      <c r="E100" s="309"/>
      <c r="F100" s="310"/>
      <c r="G100" s="310"/>
      <c r="H100" s="308"/>
      <c r="I100" s="308"/>
      <c r="J100" s="304"/>
      <c r="K100" s="304"/>
      <c r="L100" s="304"/>
      <c r="M100" s="304"/>
      <c r="N100" s="304"/>
      <c r="O100" s="304"/>
      <c r="P100" s="304"/>
      <c r="Q100" s="304"/>
      <c r="R100" s="304"/>
      <c r="S100" s="304"/>
      <c r="T100" s="304"/>
      <c r="U100" s="308"/>
      <c r="V100" s="311"/>
      <c r="AA100" s="311"/>
      <c r="AJ100" s="480"/>
      <c r="AK100" s="312"/>
      <c r="AL100" s="309"/>
      <c r="AM100" s="313"/>
      <c r="AN100" s="305"/>
      <c r="AO100" s="306"/>
      <c r="AP100" s="307"/>
      <c r="AQ100" s="302"/>
      <c r="AR100" s="308"/>
      <c r="AS100" s="308"/>
      <c r="AT100" s="302"/>
      <c r="AU100" s="302"/>
      <c r="AV100" s="302"/>
    </row>
    <row r="101" spans="1:48" s="292" customFormat="1" ht="18" hidden="1" customHeight="1">
      <c r="A101" s="314" t="s">
        <v>12</v>
      </c>
      <c r="B101" s="314"/>
      <c r="C101" s="314"/>
      <c r="D101" s="315"/>
      <c r="E101" s="314"/>
      <c r="F101" s="316" t="s">
        <v>206</v>
      </c>
      <c r="G101" s="316"/>
      <c r="H101" s="736" t="s">
        <v>209</v>
      </c>
      <c r="I101" s="736"/>
      <c r="J101" s="736"/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8"/>
      <c r="V101" s="319"/>
      <c r="X101" s="303"/>
      <c r="Y101" s="316"/>
      <c r="Z101" s="316"/>
      <c r="AA101" s="320" t="s">
        <v>209</v>
      </c>
      <c r="AB101" s="316"/>
      <c r="AC101" s="316"/>
      <c r="AD101" s="316"/>
      <c r="AE101" s="316"/>
      <c r="AF101" s="316"/>
      <c r="AG101" s="316"/>
      <c r="AH101" s="316"/>
      <c r="AI101" s="316"/>
      <c r="AJ101" s="481"/>
      <c r="AK101" s="316"/>
      <c r="AL101" s="314"/>
      <c r="AM101" s="316"/>
      <c r="AN101" s="314"/>
      <c r="AO101" s="321"/>
      <c r="AP101" s="307"/>
      <c r="AQ101" s="302"/>
      <c r="AR101" s="308"/>
      <c r="AS101" s="308"/>
      <c r="AT101" s="302"/>
      <c r="AU101" s="302"/>
      <c r="AV101" s="302"/>
    </row>
    <row r="102" spans="1:48" s="62" customFormat="1" ht="18.75" hidden="1">
      <c r="A102" s="11"/>
      <c r="B102" s="11"/>
      <c r="C102" s="11"/>
      <c r="D102" s="255"/>
      <c r="E102" s="11"/>
      <c r="F102" s="322"/>
      <c r="G102" s="322"/>
      <c r="H102" s="322"/>
      <c r="I102" s="322"/>
      <c r="J102" s="323"/>
      <c r="K102" s="323"/>
      <c r="L102" s="323"/>
      <c r="M102" s="323"/>
      <c r="N102" s="323"/>
      <c r="O102" s="323"/>
      <c r="P102" s="323"/>
      <c r="Q102" s="323"/>
      <c r="R102" s="323"/>
      <c r="S102" s="323"/>
      <c r="T102" s="323"/>
      <c r="U102" s="322"/>
      <c r="V102" s="322"/>
      <c r="W102" s="322"/>
      <c r="X102" s="322"/>
      <c r="Y102" s="322"/>
      <c r="Z102" s="322"/>
      <c r="AA102" s="322"/>
      <c r="AB102" s="322"/>
      <c r="AC102" s="322"/>
      <c r="AD102" s="322"/>
      <c r="AE102" s="322"/>
      <c r="AF102" s="322"/>
      <c r="AG102" s="322"/>
      <c r="AH102" s="322"/>
      <c r="AI102" s="322"/>
      <c r="AJ102" s="482"/>
      <c r="AK102" s="322"/>
      <c r="AL102" s="324"/>
      <c r="AM102" s="322"/>
      <c r="AN102" s="281"/>
      <c r="AO102" s="325"/>
      <c r="AP102" s="326"/>
      <c r="AQ102" s="598"/>
      <c r="AR102" s="255"/>
      <c r="AS102" s="255"/>
      <c r="AT102" s="598"/>
      <c r="AU102" s="598"/>
      <c r="AV102" s="598"/>
    </row>
    <row r="103" spans="1:48" s="103" customFormat="1" ht="57.75" hidden="1" customHeight="1">
      <c r="A103" s="11"/>
      <c r="B103" s="11"/>
      <c r="C103" s="11"/>
      <c r="D103" s="255"/>
      <c r="E103" s="720" t="s">
        <v>207</v>
      </c>
      <c r="F103" s="720"/>
      <c r="G103" s="327"/>
      <c r="H103" s="328"/>
      <c r="I103" s="328"/>
      <c r="J103" s="328"/>
      <c r="K103" s="328"/>
      <c r="L103" s="328"/>
      <c r="M103" s="328"/>
      <c r="N103" s="328"/>
      <c r="O103" s="328"/>
      <c r="P103" s="328"/>
      <c r="Q103" s="328"/>
      <c r="R103" s="328"/>
      <c r="S103" s="328"/>
      <c r="T103" s="328"/>
      <c r="U103" s="328"/>
      <c r="V103" s="329"/>
      <c r="W103" s="329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483"/>
      <c r="AK103" s="11"/>
      <c r="AL103" s="281"/>
      <c r="AM103" s="11"/>
      <c r="AN103" s="281"/>
      <c r="AP103" s="326"/>
      <c r="AQ103" s="598"/>
      <c r="AR103" s="255"/>
      <c r="AS103" s="255"/>
      <c r="AT103" s="598"/>
      <c r="AU103" s="598"/>
      <c r="AV103" s="598"/>
    </row>
  </sheetData>
  <mergeCells count="40">
    <mergeCell ref="D11:AV11"/>
    <mergeCell ref="E6:AT6"/>
    <mergeCell ref="D7:AV7"/>
    <mergeCell ref="D8:AV8"/>
    <mergeCell ref="D9:AV9"/>
    <mergeCell ref="D10:AV10"/>
    <mergeCell ref="E103:F103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4:F94"/>
    <mergeCell ref="H101:J101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8"/>
  <sheetViews>
    <sheetView view="pageBreakPreview" topLeftCell="C27" zoomScale="70" zoomScaleSheetLayoutView="70" workbookViewId="0">
      <selection activeCell="AW90" sqref="AW90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04"/>
      <c r="AR1" s="255"/>
      <c r="AS1" s="255"/>
      <c r="AT1" s="604"/>
      <c r="AU1" s="604"/>
      <c r="AV1" s="60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0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0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335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04"/>
      <c r="AR12" s="255"/>
      <c r="AS12" s="255"/>
      <c r="AT12" s="605"/>
      <c r="AU12" s="605"/>
      <c r="AV12" s="60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336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05"/>
      <c r="D16" s="748"/>
      <c r="E16" s="685"/>
      <c r="F16" s="685"/>
      <c r="G16" s="202"/>
      <c r="H16" s="201"/>
      <c r="I16" s="201"/>
      <c r="J16" s="241"/>
      <c r="K16" s="241"/>
      <c r="L16" s="241"/>
      <c r="M16" s="603" t="s">
        <v>77</v>
      </c>
      <c r="N16" s="603" t="s">
        <v>78</v>
      </c>
      <c r="O16" s="603" t="s">
        <v>77</v>
      </c>
      <c r="P16" s="603" t="s">
        <v>78</v>
      </c>
      <c r="Q16" s="603" t="s">
        <v>77</v>
      </c>
      <c r="R16" s="603" t="s">
        <v>78</v>
      </c>
      <c r="S16" s="603" t="s">
        <v>77</v>
      </c>
      <c r="T16" s="60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02" t="s">
        <v>77</v>
      </c>
      <c r="AE16" s="602" t="s">
        <v>78</v>
      </c>
      <c r="AF16" s="205" t="s">
        <v>77</v>
      </c>
      <c r="AG16" s="205" t="s">
        <v>78</v>
      </c>
      <c r="AH16" s="602" t="s">
        <v>77</v>
      </c>
      <c r="AI16" s="602" t="s">
        <v>78</v>
      </c>
      <c r="AJ16" s="207" t="s">
        <v>96</v>
      </c>
      <c r="AK16" s="96" t="s">
        <v>19</v>
      </c>
      <c r="AL16" s="600" t="s">
        <v>96</v>
      </c>
      <c r="AM16" s="600" t="s">
        <v>19</v>
      </c>
      <c r="AN16" s="216" t="s">
        <v>96</v>
      </c>
      <c r="AO16" s="216" t="s">
        <v>19</v>
      </c>
      <c r="AP16" s="207" t="s">
        <v>96</v>
      </c>
      <c r="AQ16" s="600" t="s">
        <v>96</v>
      </c>
      <c r="AR16" s="600" t="s">
        <v>107</v>
      </c>
      <c r="AS16" s="600" t="s">
        <v>19</v>
      </c>
      <c r="AT16" s="601" t="s">
        <v>96</v>
      </c>
      <c r="AU16" s="601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2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82" si="2">AC18+AK18-AM18</f>
        <v>1026.1600000000001</v>
      </c>
      <c r="AP18" s="232"/>
      <c r="AQ18" s="229"/>
      <c r="AR18" s="212">
        <v>1026.1600000000001</v>
      </c>
      <c r="AS18" s="212">
        <f t="shared" ref="AS18:AS97" si="3">AQ18*AR18</f>
        <v>0</v>
      </c>
      <c r="AT18" s="247">
        <f>AV18</f>
        <v>1</v>
      </c>
      <c r="AU18" s="228">
        <f t="shared" ref="AU18:AU97" si="4">AT18*AR18</f>
        <v>1026.1600000000001</v>
      </c>
      <c r="AV18" s="247">
        <v>1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7" si="5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f t="shared" ref="AT19:AT86" si="6">AV19</f>
        <v>1</v>
      </c>
      <c r="AU19" s="228">
        <f t="shared" si="4"/>
        <v>1026.1600000000001</v>
      </c>
      <c r="AV19" s="247">
        <v>1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f t="shared" si="6"/>
        <v>1</v>
      </c>
      <c r="AU22" s="228">
        <f t="shared" si="4"/>
        <v>2094.4</v>
      </c>
      <c r="AV22" s="247"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f t="shared" si="6"/>
        <v>1</v>
      </c>
      <c r="AU23" s="228">
        <f t="shared" si="4"/>
        <v>2094.4</v>
      </c>
      <c r="AV23" s="247"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f t="shared" si="6"/>
        <v>4</v>
      </c>
      <c r="AU24" s="249">
        <f>AT24*AR24</f>
        <v>9062.24</v>
      </c>
      <c r="AV24" s="247">
        <v>4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f t="shared" si="6"/>
        <v>2</v>
      </c>
      <c r="AU25" s="249">
        <f>AT25*AR25</f>
        <v>4531.12</v>
      </c>
      <c r="AV25" s="247">
        <v>2</v>
      </c>
    </row>
    <row r="26" spans="1:49" s="62" customFormat="1" ht="25.5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6</v>
      </c>
      <c r="AU27" s="228">
        <f>AT27*AR27</f>
        <v>4549.08</v>
      </c>
      <c r="AV27" s="279">
        <v>6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47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161" t="s">
        <v>41</v>
      </c>
      <c r="G31" s="222" t="s">
        <v>166</v>
      </c>
      <c r="H31" s="193"/>
      <c r="I31" s="193"/>
      <c r="J31" s="193"/>
      <c r="K31" s="193"/>
      <c r="L31" s="243"/>
      <c r="M31" s="242"/>
      <c r="N31" s="243"/>
      <c r="O31" s="193"/>
      <c r="P31" s="243"/>
      <c r="Q31" s="193"/>
      <c r="R31" s="243"/>
      <c r="S31" s="193"/>
      <c r="T31" s="243"/>
      <c r="U31" s="203" t="s">
        <v>267</v>
      </c>
      <c r="V31" s="115"/>
      <c r="W31" s="114"/>
      <c r="X31" s="193"/>
      <c r="Y31" s="200"/>
      <c r="Z31" s="193"/>
      <c r="AA31" s="193"/>
      <c r="AB31" s="35"/>
      <c r="AC31" s="170"/>
      <c r="AD31" s="209"/>
      <c r="AE31" s="194"/>
      <c r="AF31" s="209"/>
      <c r="AG31" s="194"/>
      <c r="AH31" s="209"/>
      <c r="AI31" s="194"/>
      <c r="AJ31" s="232">
        <v>46</v>
      </c>
      <c r="AK31" s="170"/>
      <c r="AL31" s="272"/>
      <c r="AM31" s="212"/>
      <c r="AN31" s="269"/>
      <c r="AO31" s="217"/>
      <c r="AP31" s="232"/>
      <c r="AQ31" s="229"/>
      <c r="AR31" s="212"/>
      <c r="AS31" s="212"/>
      <c r="AT31" s="247">
        <f t="shared" si="6"/>
        <v>0</v>
      </c>
      <c r="AU31" s="228"/>
      <c r="AV31" s="279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478</v>
      </c>
      <c r="AU32" s="228"/>
      <c r="AV32" s="279">
        <v>478</v>
      </c>
    </row>
    <row r="33" spans="1:48" s="62" customFormat="1" ht="24.75" customHeight="1">
      <c r="A33" s="59"/>
      <c r="B33" s="60"/>
      <c r="C33" s="60"/>
      <c r="D33" s="22"/>
      <c r="E33" s="79"/>
      <c r="F33" s="161" t="s">
        <v>41</v>
      </c>
      <c r="G33" s="222" t="s">
        <v>166</v>
      </c>
      <c r="H33" s="161"/>
      <c r="I33" s="222"/>
      <c r="J33" s="161"/>
      <c r="K33" s="222"/>
      <c r="L33" s="161"/>
      <c r="M33" s="222"/>
      <c r="N33" s="161"/>
      <c r="O33" s="222"/>
      <c r="P33" s="161"/>
      <c r="Q33" s="222"/>
      <c r="R33" s="161"/>
      <c r="S33" s="222"/>
      <c r="T33" s="161"/>
      <c r="U33" s="203" t="s">
        <v>312</v>
      </c>
      <c r="V33" s="115"/>
      <c r="W33" s="114"/>
      <c r="X33" s="193"/>
      <c r="Y33" s="200"/>
      <c r="Z33" s="193"/>
      <c r="AA33" s="193"/>
      <c r="AB33" s="35"/>
      <c r="AC33" s="170"/>
      <c r="AD33" s="209"/>
      <c r="AE33" s="194"/>
      <c r="AF33" s="209"/>
      <c r="AG33" s="194"/>
      <c r="AH33" s="209"/>
      <c r="AI33" s="194"/>
      <c r="AJ33" s="232">
        <v>46</v>
      </c>
      <c r="AK33" s="170"/>
      <c r="AL33" s="272"/>
      <c r="AM33" s="212"/>
      <c r="AN33" s="269"/>
      <c r="AO33" s="217"/>
      <c r="AP33" s="232"/>
      <c r="AQ33" s="229"/>
      <c r="AR33" s="212"/>
      <c r="AS33" s="212"/>
      <c r="AT33" s="247">
        <f t="shared" si="6"/>
        <v>0</v>
      </c>
      <c r="AU33" s="228"/>
      <c r="AV33" s="279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148</v>
      </c>
      <c r="AU34" s="228"/>
      <c r="AV34" s="279"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477</v>
      </c>
      <c r="AU37" s="228"/>
      <c r="AV37" s="279">
        <v>477</v>
      </c>
    </row>
    <row r="38" spans="1:48" s="62" customFormat="1" ht="31.5">
      <c r="A38" s="59"/>
      <c r="B38" s="60"/>
      <c r="C38" s="60"/>
      <c r="D38" s="22"/>
      <c r="E38" s="79"/>
      <c r="F38" s="179" t="s">
        <v>53</v>
      </c>
      <c r="G38" s="222" t="s">
        <v>168</v>
      </c>
      <c r="H38" s="193"/>
      <c r="I38" s="193"/>
      <c r="J38" s="193"/>
      <c r="K38" s="193"/>
      <c r="L38" s="243"/>
      <c r="M38" s="242"/>
      <c r="N38" s="243"/>
      <c r="O38" s="193"/>
      <c r="P38" s="243"/>
      <c r="Q38" s="193"/>
      <c r="R38" s="243"/>
      <c r="S38" s="193"/>
      <c r="T38" s="243"/>
      <c r="U38" s="203" t="s">
        <v>313</v>
      </c>
      <c r="V38" s="115"/>
      <c r="W38" s="114"/>
      <c r="X38" s="193"/>
      <c r="Y38" s="200"/>
      <c r="Z38" s="193"/>
      <c r="AA38" s="193"/>
      <c r="AB38" s="35"/>
      <c r="AC38" s="170"/>
      <c r="AD38" s="209"/>
      <c r="AE38" s="194"/>
      <c r="AF38" s="209"/>
      <c r="AG38" s="194"/>
      <c r="AH38" s="209"/>
      <c r="AI38" s="194"/>
      <c r="AJ38" s="232">
        <v>46</v>
      </c>
      <c r="AK38" s="170"/>
      <c r="AL38" s="272"/>
      <c r="AM38" s="212"/>
      <c r="AN38" s="269"/>
      <c r="AO38" s="217"/>
      <c r="AP38" s="232"/>
      <c r="AQ38" s="229"/>
      <c r="AR38" s="212"/>
      <c r="AS38" s="212"/>
      <c r="AT38" s="247">
        <f t="shared" si="6"/>
        <v>0</v>
      </c>
      <c r="AU38" s="228"/>
      <c r="AV38" s="279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148</v>
      </c>
      <c r="AU39" s="228"/>
      <c r="AV39" s="279"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50</v>
      </c>
      <c r="AU40" s="228"/>
      <c r="AV40" s="279">
        <v>50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40</v>
      </c>
      <c r="AU41" s="228"/>
      <c r="AV41" s="279"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45</v>
      </c>
      <c r="AU42" s="228"/>
      <c r="AV42" s="279"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427"/>
      <c r="D46" s="428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427"/>
      <c r="D47" s="428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140</v>
      </c>
      <c r="AU48" s="386">
        <f>AT48*AR48</f>
        <v>68523</v>
      </c>
      <c r="AV48" s="279">
        <v>140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427"/>
      <c r="D53" s="428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475</v>
      </c>
      <c r="AU54" s="386"/>
      <c r="AV54" s="279">
        <v>475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427"/>
      <c r="D58" s="428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customHeight="1">
      <c r="A59" s="59"/>
      <c r="B59" s="60"/>
      <c r="C59" s="137"/>
      <c r="D59" s="192"/>
      <c r="E59" s="79" t="s">
        <v>24</v>
      </c>
      <c r="F59" s="525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527" t="s">
        <v>133</v>
      </c>
      <c r="V59" s="193">
        <v>234</v>
      </c>
      <c r="W59" s="532">
        <v>43143</v>
      </c>
      <c r="X59" s="193" t="s">
        <v>143</v>
      </c>
      <c r="Y59" s="200">
        <v>43164</v>
      </c>
      <c r="Z59" s="193"/>
      <c r="AA59" s="193"/>
      <c r="AB59" s="192">
        <v>0</v>
      </c>
      <c r="AC59" s="530">
        <v>0</v>
      </c>
      <c r="AD59" s="531">
        <v>320</v>
      </c>
      <c r="AE59" s="530">
        <v>64697.599999999999</v>
      </c>
      <c r="AF59" s="531"/>
      <c r="AG59" s="530"/>
      <c r="AH59" s="531"/>
      <c r="AI59" s="530"/>
      <c r="AJ59" s="247"/>
      <c r="AK59" s="170">
        <f t="shared" si="5"/>
        <v>64697.599999999999</v>
      </c>
      <c r="AL59" s="272">
        <v>0</v>
      </c>
      <c r="AM59" s="212">
        <v>0</v>
      </c>
      <c r="AN59" s="269">
        <v>320</v>
      </c>
      <c r="AO59" s="217">
        <f t="shared" si="2"/>
        <v>64697.599999999999</v>
      </c>
      <c r="AP59" s="232"/>
      <c r="AQ59" s="229"/>
      <c r="AR59" s="212">
        <v>202.18</v>
      </c>
      <c r="AS59" s="212">
        <f t="shared" si="3"/>
        <v>0</v>
      </c>
      <c r="AT59" s="247">
        <f t="shared" si="6"/>
        <v>65</v>
      </c>
      <c r="AU59" s="249">
        <f t="shared" si="4"/>
        <v>13141.7</v>
      </c>
      <c r="AV59" s="247">
        <v>65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47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133</v>
      </c>
      <c r="V61" s="193">
        <v>356</v>
      </c>
      <c r="W61" s="532">
        <v>43159</v>
      </c>
      <c r="X61" s="193" t="s">
        <v>136</v>
      </c>
      <c r="Y61" s="200">
        <v>43164</v>
      </c>
      <c r="Z61" s="193"/>
      <c r="AA61" s="193"/>
      <c r="AB61" s="192">
        <v>0</v>
      </c>
      <c r="AC61" s="530">
        <v>0</v>
      </c>
      <c r="AD61" s="531">
        <v>170</v>
      </c>
      <c r="AE61" s="530">
        <v>34370.6</v>
      </c>
      <c r="AF61" s="531"/>
      <c r="AG61" s="530"/>
      <c r="AH61" s="531"/>
      <c r="AI61" s="530"/>
      <c r="AJ61" s="247"/>
      <c r="AK61" s="170">
        <f t="shared" si="5"/>
        <v>34370.6</v>
      </c>
      <c r="AL61" s="272">
        <v>0</v>
      </c>
      <c r="AM61" s="212">
        <v>0</v>
      </c>
      <c r="AN61" s="269">
        <v>170</v>
      </c>
      <c r="AO61" s="217">
        <f t="shared" si="2"/>
        <v>34370.6</v>
      </c>
      <c r="AP61" s="232"/>
      <c r="AQ61" s="229"/>
      <c r="AR61" s="212">
        <v>202.18</v>
      </c>
      <c r="AS61" s="212">
        <f t="shared" si="3"/>
        <v>0</v>
      </c>
      <c r="AT61" s="247">
        <f t="shared" si="6"/>
        <v>170</v>
      </c>
      <c r="AU61" s="228">
        <f t="shared" si="4"/>
        <v>34370.6</v>
      </c>
      <c r="AV61" s="247">
        <v>170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665</v>
      </c>
      <c r="AU62" s="249">
        <f t="shared" si="4"/>
        <v>134449.70000000001</v>
      </c>
      <c r="AV62" s="247">
        <v>665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205</v>
      </c>
      <c r="AU65" s="249">
        <f t="shared" si="4"/>
        <v>41446.9</v>
      </c>
      <c r="AV65" s="247">
        <v>205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164</v>
      </c>
      <c r="AU79" s="386"/>
      <c r="AV79" s="279">
        <v>164</v>
      </c>
    </row>
    <row r="80" spans="1:48" s="62" customFormat="1" ht="25.5" customHeight="1">
      <c r="A80" s="59"/>
      <c r="B80" s="60"/>
      <c r="C80" s="60"/>
      <c r="D80" s="22"/>
      <c r="E80" s="79"/>
      <c r="F80" s="140" t="s">
        <v>55</v>
      </c>
      <c r="G80" s="222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03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2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47">
        <f t="shared" si="6"/>
        <v>0</v>
      </c>
      <c r="AU80" s="386"/>
      <c r="AV80" s="279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356</v>
      </c>
      <c r="AU83" s="228"/>
      <c r="AV83" s="279">
        <v>356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8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150" t="s">
        <v>57</v>
      </c>
      <c r="G92" s="222" t="s">
        <v>279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266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610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9"/>
        <v>26</v>
      </c>
      <c r="AU92" s="228"/>
      <c r="AV92" s="279">
        <v>26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723</v>
      </c>
      <c r="AU93" s="228"/>
      <c r="AV93" s="279">
        <v>723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724</v>
      </c>
      <c r="AU94" s="228"/>
      <c r="AV94" s="279">
        <v>724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10</v>
      </c>
      <c r="AU96" s="228">
        <f t="shared" si="4"/>
        <v>553.20000000000005</v>
      </c>
      <c r="AV96" s="279">
        <v>10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427"/>
      <c r="D98" s="612"/>
      <c r="E98" s="606"/>
      <c r="F98" s="613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251" customFormat="1" ht="21" customHeight="1">
      <c r="A99" s="20" t="s">
        <v>11</v>
      </c>
      <c r="B99" s="20"/>
      <c r="C99" s="20"/>
      <c r="D99" s="695" t="s">
        <v>34</v>
      </c>
      <c r="E99" s="696"/>
      <c r="F99" s="697"/>
      <c r="G99" s="246"/>
      <c r="H99" s="246"/>
      <c r="I99" s="246"/>
      <c r="J99" s="246"/>
      <c r="K99" s="247">
        <f>SUM(K17:K97)</f>
        <v>24</v>
      </c>
      <c r="L99" s="248"/>
      <c r="M99" s="246"/>
      <c r="N99" s="249">
        <f>SUM(N17:N97)</f>
        <v>2156307.44</v>
      </c>
      <c r="O99" s="248"/>
      <c r="P99" s="249">
        <f>SUM(P17:P97)</f>
        <v>1298976.4000000001</v>
      </c>
      <c r="Q99" s="248"/>
      <c r="R99" s="249">
        <f>SUM(R17:R97)</f>
        <v>928054.79999999993</v>
      </c>
      <c r="S99" s="248"/>
      <c r="T99" s="249">
        <f>SUM(T17:T97)</f>
        <v>466648.98</v>
      </c>
      <c r="U99" s="291" t="s">
        <v>156</v>
      </c>
      <c r="V99" s="291" t="s">
        <v>156</v>
      </c>
      <c r="W99" s="291" t="s">
        <v>156</v>
      </c>
      <c r="X99" s="250" t="s">
        <v>156</v>
      </c>
      <c r="Y99" s="250" t="s">
        <v>156</v>
      </c>
      <c r="Z99" s="250" t="s">
        <v>156</v>
      </c>
      <c r="AA99" s="250" t="s">
        <v>156</v>
      </c>
      <c r="AB99" s="176">
        <f>SUM(AB17:AB48)</f>
        <v>140</v>
      </c>
      <c r="AC99" s="171">
        <f>SUM(AC17:AC76)</f>
        <v>77947.959999999992</v>
      </c>
      <c r="AD99" s="210">
        <f t="shared" ref="AD99:AQ99" si="13">SUM(AD17:AD97)</f>
        <v>4914</v>
      </c>
      <c r="AE99" s="195">
        <f t="shared" si="13"/>
        <v>1078752.51</v>
      </c>
      <c r="AF99" s="210">
        <f t="shared" si="13"/>
        <v>0</v>
      </c>
      <c r="AG99" s="195">
        <f t="shared" si="13"/>
        <v>0</v>
      </c>
      <c r="AH99" s="210">
        <f t="shared" si="13"/>
        <v>0</v>
      </c>
      <c r="AI99" s="195">
        <f t="shared" si="13"/>
        <v>0</v>
      </c>
      <c r="AJ99" s="210">
        <f>SUM(AJ17:AJ98)</f>
        <v>8456</v>
      </c>
      <c r="AK99" s="175">
        <f t="shared" si="13"/>
        <v>1078752.51</v>
      </c>
      <c r="AL99" s="213">
        <f t="shared" si="13"/>
        <v>742</v>
      </c>
      <c r="AM99" s="214">
        <f t="shared" si="13"/>
        <v>175808.55000000005</v>
      </c>
      <c r="AN99" s="218">
        <f t="shared" si="13"/>
        <v>4312</v>
      </c>
      <c r="AO99" s="219">
        <f t="shared" si="13"/>
        <v>964298.99000000011</v>
      </c>
      <c r="AP99" s="286">
        <f t="shared" si="13"/>
        <v>0</v>
      </c>
      <c r="AQ99" s="287">
        <f t="shared" si="13"/>
        <v>0</v>
      </c>
      <c r="AR99" s="226" t="s">
        <v>156</v>
      </c>
      <c r="AS99" s="226">
        <f>SUM(AS17:AS97)</f>
        <v>0</v>
      </c>
      <c r="AT99" s="227">
        <f>SUM(AT17:AT98)</f>
        <v>8967</v>
      </c>
      <c r="AU99" s="228">
        <f>SUM(AU17:AU97)</f>
        <v>557191.07999999996</v>
      </c>
      <c r="AV99" s="510">
        <f>SUM(AV17:AV98)</f>
        <v>8967</v>
      </c>
    </row>
    <row r="100" spans="1:48" s="336" customFormat="1" ht="2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47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336" customFormat="1" ht="21" hidden="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292" customFormat="1" ht="20.25" hidden="1">
      <c r="A102" s="301"/>
      <c r="B102" s="301"/>
      <c r="C102" s="301"/>
      <c r="D102" s="302"/>
      <c r="E102" s="301"/>
      <c r="F102" s="303" t="s">
        <v>205</v>
      </c>
      <c r="G102" s="303"/>
      <c r="H102" s="303" t="s">
        <v>208</v>
      </c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 t="s">
        <v>208</v>
      </c>
      <c r="AB102" s="303"/>
      <c r="AC102" s="303"/>
      <c r="AD102" s="303"/>
      <c r="AE102" s="303"/>
      <c r="AF102" s="303"/>
      <c r="AG102" s="303"/>
      <c r="AH102" s="303"/>
      <c r="AI102" s="303"/>
      <c r="AJ102" s="479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5" hidden="1" customHeight="1">
      <c r="A105" s="309"/>
      <c r="B105" s="309"/>
      <c r="C105" s="309"/>
      <c r="D105" s="302"/>
      <c r="E105" s="309"/>
      <c r="F105" s="310"/>
      <c r="G105" s="310"/>
      <c r="H105" s="308"/>
      <c r="I105" s="308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8"/>
      <c r="V105" s="311"/>
      <c r="AA105" s="311"/>
      <c r="AJ105" s="480"/>
      <c r="AK105" s="312"/>
      <c r="AL105" s="309"/>
      <c r="AM105" s="31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8" hidden="1" customHeight="1">
      <c r="A106" s="314" t="s">
        <v>12</v>
      </c>
      <c r="B106" s="314"/>
      <c r="C106" s="314"/>
      <c r="D106" s="315"/>
      <c r="E106" s="314"/>
      <c r="F106" s="316" t="s">
        <v>206</v>
      </c>
      <c r="G106" s="316"/>
      <c r="H106" s="736" t="s">
        <v>209</v>
      </c>
      <c r="I106" s="736"/>
      <c r="J106" s="736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8"/>
      <c r="V106" s="319"/>
      <c r="X106" s="303"/>
      <c r="Y106" s="316"/>
      <c r="Z106" s="316"/>
      <c r="AA106" s="320" t="s">
        <v>209</v>
      </c>
      <c r="AB106" s="316"/>
      <c r="AC106" s="316"/>
      <c r="AD106" s="316"/>
      <c r="AE106" s="316"/>
      <c r="AF106" s="316"/>
      <c r="AG106" s="316"/>
      <c r="AH106" s="316"/>
      <c r="AI106" s="316"/>
      <c r="AJ106" s="481"/>
      <c r="AK106" s="316"/>
      <c r="AL106" s="314"/>
      <c r="AM106" s="316"/>
      <c r="AN106" s="314"/>
      <c r="AO106" s="321"/>
      <c r="AP106" s="307"/>
      <c r="AQ106" s="302"/>
      <c r="AR106" s="308"/>
      <c r="AS106" s="308"/>
      <c r="AT106" s="302"/>
      <c r="AU106" s="302"/>
      <c r="AV106" s="302"/>
    </row>
    <row r="107" spans="1:48" s="62" customFormat="1" ht="18.75" hidden="1">
      <c r="A107" s="11"/>
      <c r="B107" s="11"/>
      <c r="C107" s="11"/>
      <c r="D107" s="255"/>
      <c r="E107" s="11"/>
      <c r="F107" s="322"/>
      <c r="G107" s="322"/>
      <c r="H107" s="322"/>
      <c r="I107" s="322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482"/>
      <c r="AK107" s="322"/>
      <c r="AL107" s="324"/>
      <c r="AM107" s="322"/>
      <c r="AN107" s="281"/>
      <c r="AO107" s="325"/>
      <c r="AP107" s="326"/>
      <c r="AQ107" s="604"/>
      <c r="AR107" s="255"/>
      <c r="AS107" s="255"/>
      <c r="AT107" s="604"/>
      <c r="AU107" s="604"/>
      <c r="AV107" s="604"/>
    </row>
    <row r="108" spans="1:48" s="103" customFormat="1" ht="57.75" hidden="1" customHeight="1">
      <c r="A108" s="11"/>
      <c r="B108" s="11"/>
      <c r="C108" s="11"/>
      <c r="D108" s="255"/>
      <c r="E108" s="720" t="s">
        <v>207</v>
      </c>
      <c r="F108" s="720"/>
      <c r="G108" s="327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9"/>
      <c r="W108" s="329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483"/>
      <c r="AK108" s="11"/>
      <c r="AL108" s="281"/>
      <c r="AM108" s="11"/>
      <c r="AN108" s="281"/>
      <c r="AP108" s="326"/>
      <c r="AQ108" s="604"/>
      <c r="AR108" s="255"/>
      <c r="AS108" s="255"/>
      <c r="AT108" s="604"/>
      <c r="AU108" s="604"/>
      <c r="AV108" s="604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99:F99"/>
    <mergeCell ref="H106:J106"/>
    <mergeCell ref="U14:U16"/>
    <mergeCell ref="V14:W15"/>
    <mergeCell ref="O15:P15"/>
    <mergeCell ref="Q15:R15"/>
    <mergeCell ref="S15:T15"/>
    <mergeCell ref="E108:F10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8"/>
  <sheetViews>
    <sheetView view="pageBreakPreview" topLeftCell="C87" zoomScale="70" zoomScaleSheetLayoutView="70" workbookViewId="0">
      <selection activeCell="BC93" sqref="BC93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18"/>
      <c r="AR1" s="255"/>
      <c r="AS1" s="255"/>
      <c r="AT1" s="618"/>
      <c r="AU1" s="618"/>
      <c r="AV1" s="61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1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1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343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18"/>
      <c r="AR12" s="255"/>
      <c r="AS12" s="255"/>
      <c r="AT12" s="619"/>
      <c r="AU12" s="619"/>
      <c r="AV12" s="61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342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19"/>
      <c r="D16" s="748"/>
      <c r="E16" s="685"/>
      <c r="F16" s="685"/>
      <c r="G16" s="202"/>
      <c r="H16" s="201"/>
      <c r="I16" s="201"/>
      <c r="J16" s="241"/>
      <c r="K16" s="241"/>
      <c r="L16" s="241"/>
      <c r="M16" s="614" t="s">
        <v>77</v>
      </c>
      <c r="N16" s="614" t="s">
        <v>78</v>
      </c>
      <c r="O16" s="614" t="s">
        <v>77</v>
      </c>
      <c r="P16" s="614" t="s">
        <v>78</v>
      </c>
      <c r="Q16" s="614" t="s">
        <v>77</v>
      </c>
      <c r="R16" s="614" t="s">
        <v>78</v>
      </c>
      <c r="S16" s="614" t="s">
        <v>77</v>
      </c>
      <c r="T16" s="61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15" t="s">
        <v>77</v>
      </c>
      <c r="AE16" s="615" t="s">
        <v>78</v>
      </c>
      <c r="AF16" s="205" t="s">
        <v>77</v>
      </c>
      <c r="AG16" s="205" t="s">
        <v>78</v>
      </c>
      <c r="AH16" s="615" t="s">
        <v>77</v>
      </c>
      <c r="AI16" s="615" t="s">
        <v>78</v>
      </c>
      <c r="AJ16" s="207" t="s">
        <v>96</v>
      </c>
      <c r="AK16" s="96" t="s">
        <v>19</v>
      </c>
      <c r="AL16" s="616" t="s">
        <v>96</v>
      </c>
      <c r="AM16" s="616" t="s">
        <v>19</v>
      </c>
      <c r="AN16" s="216" t="s">
        <v>96</v>
      </c>
      <c r="AO16" s="216" t="s">
        <v>19</v>
      </c>
      <c r="AP16" s="207" t="s">
        <v>96</v>
      </c>
      <c r="AQ16" s="616" t="s">
        <v>96</v>
      </c>
      <c r="AR16" s="616" t="s">
        <v>107</v>
      </c>
      <c r="AS16" s="616" t="s">
        <v>19</v>
      </c>
      <c r="AT16" s="617" t="s">
        <v>96</v>
      </c>
      <c r="AU16" s="617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2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82" si="2">AC18+AK18-AM18</f>
        <v>1026.1600000000001</v>
      </c>
      <c r="AP18" s="232"/>
      <c r="AQ18" s="229"/>
      <c r="AR18" s="212">
        <v>1026.1600000000001</v>
      </c>
      <c r="AS18" s="212">
        <f t="shared" ref="AS18:AS97" si="3">AQ18*AR18</f>
        <v>0</v>
      </c>
      <c r="AT18" s="247">
        <f>AV18</f>
        <v>0</v>
      </c>
      <c r="AU18" s="228">
        <f t="shared" ref="AU18:AU97" si="4">AT18*AR18</f>
        <v>0</v>
      </c>
      <c r="AV18" s="247">
        <v>0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7" si="5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f t="shared" ref="AT19:AT86" si="6">AV19</f>
        <v>0</v>
      </c>
      <c r="AU19" s="228">
        <f t="shared" si="4"/>
        <v>0</v>
      </c>
      <c r="AV19" s="247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f t="shared" si="6"/>
        <v>1</v>
      </c>
      <c r="AU22" s="228">
        <f t="shared" si="4"/>
        <v>2094.4</v>
      </c>
      <c r="AV22" s="247"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f t="shared" si="6"/>
        <v>1</v>
      </c>
      <c r="AU23" s="228">
        <f t="shared" si="4"/>
        <v>2094.4</v>
      </c>
      <c r="AV23" s="247"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f t="shared" si="6"/>
        <v>0</v>
      </c>
      <c r="AU24" s="249">
        <f>AT24*AR24</f>
        <v>0</v>
      </c>
      <c r="AV24" s="247">
        <v>0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f t="shared" si="6"/>
        <v>1</v>
      </c>
      <c r="AU25" s="249">
        <f>AT25*AR25</f>
        <v>2265.56</v>
      </c>
      <c r="AV25" s="247">
        <v>1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148</v>
      </c>
      <c r="AU34" s="228"/>
      <c r="AV34" s="279"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148</v>
      </c>
      <c r="AU39" s="228"/>
      <c r="AV39" s="279"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13</v>
      </c>
      <c r="AU40" s="228"/>
      <c r="AV40" s="279">
        <v>13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40</v>
      </c>
      <c r="AU41" s="228"/>
      <c r="AV41" s="279"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45</v>
      </c>
      <c r="AU42" s="228"/>
      <c r="AV42" s="279"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427"/>
      <c r="D46" s="428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427"/>
      <c r="D47" s="428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134</v>
      </c>
      <c r="AU48" s="386">
        <f>AT48*AR48</f>
        <v>65586.3</v>
      </c>
      <c r="AV48" s="279">
        <v>134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427"/>
      <c r="D53" s="428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467</v>
      </c>
      <c r="AU54" s="386"/>
      <c r="AV54" s="279">
        <v>467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427"/>
      <c r="D58" s="428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customHeight="1">
      <c r="A59" s="59"/>
      <c r="B59" s="60"/>
      <c r="C59" s="137"/>
      <c r="D59" s="192"/>
      <c r="E59" s="79" t="s">
        <v>24</v>
      </c>
      <c r="F59" s="525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527" t="s">
        <v>133</v>
      </c>
      <c r="V59" s="193">
        <v>234</v>
      </c>
      <c r="W59" s="532">
        <v>43143</v>
      </c>
      <c r="X59" s="193" t="s">
        <v>143</v>
      </c>
      <c r="Y59" s="200">
        <v>43164</v>
      </c>
      <c r="Z59" s="193"/>
      <c r="AA59" s="193"/>
      <c r="AB59" s="192">
        <v>0</v>
      </c>
      <c r="AC59" s="530">
        <v>0</v>
      </c>
      <c r="AD59" s="531">
        <v>320</v>
      </c>
      <c r="AE59" s="530">
        <v>64697.599999999999</v>
      </c>
      <c r="AF59" s="531"/>
      <c r="AG59" s="530"/>
      <c r="AH59" s="531"/>
      <c r="AI59" s="530"/>
      <c r="AJ59" s="247"/>
      <c r="AK59" s="170">
        <f t="shared" si="5"/>
        <v>64697.599999999999</v>
      </c>
      <c r="AL59" s="272">
        <v>0</v>
      </c>
      <c r="AM59" s="212">
        <v>0</v>
      </c>
      <c r="AN59" s="269">
        <v>320</v>
      </c>
      <c r="AO59" s="217">
        <f t="shared" si="2"/>
        <v>64697.599999999999</v>
      </c>
      <c r="AP59" s="232"/>
      <c r="AQ59" s="229"/>
      <c r="AR59" s="212">
        <v>202.18</v>
      </c>
      <c r="AS59" s="212">
        <f t="shared" si="3"/>
        <v>0</v>
      </c>
      <c r="AT59" s="247">
        <f t="shared" si="6"/>
        <v>0</v>
      </c>
      <c r="AU59" s="249">
        <f t="shared" si="4"/>
        <v>0</v>
      </c>
      <c r="AV59" s="247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47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133</v>
      </c>
      <c r="V61" s="193">
        <v>356</v>
      </c>
      <c r="W61" s="532">
        <v>43159</v>
      </c>
      <c r="X61" s="193" t="s">
        <v>136</v>
      </c>
      <c r="Y61" s="200">
        <v>43164</v>
      </c>
      <c r="Z61" s="193"/>
      <c r="AA61" s="193"/>
      <c r="AB61" s="192">
        <v>0</v>
      </c>
      <c r="AC61" s="530">
        <v>0</v>
      </c>
      <c r="AD61" s="531">
        <v>170</v>
      </c>
      <c r="AE61" s="530">
        <v>34370.6</v>
      </c>
      <c r="AF61" s="531"/>
      <c r="AG61" s="530"/>
      <c r="AH61" s="531"/>
      <c r="AI61" s="530"/>
      <c r="AJ61" s="247"/>
      <c r="AK61" s="170">
        <f t="shared" si="5"/>
        <v>34370.6</v>
      </c>
      <c r="AL61" s="272">
        <v>0</v>
      </c>
      <c r="AM61" s="212">
        <v>0</v>
      </c>
      <c r="AN61" s="269">
        <v>170</v>
      </c>
      <c r="AO61" s="217">
        <f t="shared" si="2"/>
        <v>34370.6</v>
      </c>
      <c r="AP61" s="232"/>
      <c r="AQ61" s="229"/>
      <c r="AR61" s="212">
        <v>202.18</v>
      </c>
      <c r="AS61" s="212">
        <f t="shared" si="3"/>
        <v>0</v>
      </c>
      <c r="AT61" s="247">
        <f t="shared" si="6"/>
        <v>0</v>
      </c>
      <c r="AU61" s="228">
        <f t="shared" si="4"/>
        <v>0</v>
      </c>
      <c r="AV61" s="247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385</v>
      </c>
      <c r="AU62" s="249">
        <f t="shared" si="4"/>
        <v>77839.3</v>
      </c>
      <c r="AV62" s="247">
        <v>385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205</v>
      </c>
      <c r="AU65" s="249">
        <f t="shared" si="4"/>
        <v>41446.9</v>
      </c>
      <c r="AV65" s="247">
        <v>205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104</v>
      </c>
      <c r="AU79" s="386"/>
      <c r="AV79" s="279">
        <v>104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296</v>
      </c>
      <c r="AU83" s="228"/>
      <c r="AV83" s="279">
        <v>296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8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150" t="s">
        <v>57</v>
      </c>
      <c r="G92" s="222" t="s">
        <v>279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266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610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9"/>
        <v>0</v>
      </c>
      <c r="AU92" s="228"/>
      <c r="AV92" s="279">
        <v>0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271</v>
      </c>
      <c r="AU93" s="228"/>
      <c r="AV93" s="279">
        <v>271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724</v>
      </c>
      <c r="AU94" s="228"/>
      <c r="AV94" s="279">
        <v>724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427"/>
      <c r="D98" s="612"/>
      <c r="E98" s="606"/>
      <c r="F98" s="613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251" customFormat="1" ht="21" customHeight="1">
      <c r="A99" s="20" t="s">
        <v>11</v>
      </c>
      <c r="B99" s="20"/>
      <c r="C99" s="20"/>
      <c r="D99" s="695" t="s">
        <v>34</v>
      </c>
      <c r="E99" s="696"/>
      <c r="F99" s="697"/>
      <c r="G99" s="246"/>
      <c r="H99" s="246"/>
      <c r="I99" s="246"/>
      <c r="J99" s="246"/>
      <c r="K99" s="247">
        <f>SUM(K17:K97)</f>
        <v>24</v>
      </c>
      <c r="L99" s="248"/>
      <c r="M99" s="246"/>
      <c r="N99" s="249">
        <f>SUM(N17:N97)</f>
        <v>2156307.44</v>
      </c>
      <c r="O99" s="248"/>
      <c r="P99" s="249">
        <f>SUM(P17:P97)</f>
        <v>1298976.4000000001</v>
      </c>
      <c r="Q99" s="248"/>
      <c r="R99" s="249">
        <f>SUM(R17:R97)</f>
        <v>928054.79999999993</v>
      </c>
      <c r="S99" s="248"/>
      <c r="T99" s="249">
        <f>SUM(T17:T97)</f>
        <v>466648.98</v>
      </c>
      <c r="U99" s="291" t="s">
        <v>156</v>
      </c>
      <c r="V99" s="291" t="s">
        <v>156</v>
      </c>
      <c r="W99" s="291" t="s">
        <v>156</v>
      </c>
      <c r="X99" s="250" t="s">
        <v>156</v>
      </c>
      <c r="Y99" s="250" t="s">
        <v>156</v>
      </c>
      <c r="Z99" s="250" t="s">
        <v>156</v>
      </c>
      <c r="AA99" s="250" t="s">
        <v>156</v>
      </c>
      <c r="AB99" s="176">
        <f>SUM(AB17:AB48)</f>
        <v>140</v>
      </c>
      <c r="AC99" s="171">
        <f>SUM(AC17:AC76)</f>
        <v>77947.959999999992</v>
      </c>
      <c r="AD99" s="210">
        <f t="shared" ref="AD99:AQ99" si="13">SUM(AD17:AD97)</f>
        <v>4914</v>
      </c>
      <c r="AE99" s="195">
        <f t="shared" si="13"/>
        <v>1078752.51</v>
      </c>
      <c r="AF99" s="210">
        <f t="shared" si="13"/>
        <v>0</v>
      </c>
      <c r="AG99" s="195">
        <f t="shared" si="13"/>
        <v>0</v>
      </c>
      <c r="AH99" s="210">
        <f t="shared" si="13"/>
        <v>0</v>
      </c>
      <c r="AI99" s="195">
        <f t="shared" si="13"/>
        <v>0</v>
      </c>
      <c r="AJ99" s="210">
        <f>SUM(AJ17:AJ98)</f>
        <v>8456</v>
      </c>
      <c r="AK99" s="175">
        <f t="shared" si="13"/>
        <v>1078752.51</v>
      </c>
      <c r="AL99" s="213">
        <f t="shared" si="13"/>
        <v>742</v>
      </c>
      <c r="AM99" s="214">
        <f t="shared" si="13"/>
        <v>175808.55000000005</v>
      </c>
      <c r="AN99" s="218">
        <f t="shared" si="13"/>
        <v>4312</v>
      </c>
      <c r="AO99" s="219">
        <f t="shared" si="13"/>
        <v>964298.99000000011</v>
      </c>
      <c r="AP99" s="286">
        <f t="shared" si="13"/>
        <v>0</v>
      </c>
      <c r="AQ99" s="287">
        <f t="shared" si="13"/>
        <v>0</v>
      </c>
      <c r="AR99" s="226" t="s">
        <v>156</v>
      </c>
      <c r="AS99" s="226">
        <f>SUM(AS17:AS97)</f>
        <v>0</v>
      </c>
      <c r="AT99" s="227">
        <f>SUM(AT17:AT98)</f>
        <v>7673</v>
      </c>
      <c r="AU99" s="228">
        <f>SUM(AU17:AU97)</f>
        <v>435882.74000000005</v>
      </c>
      <c r="AV99" s="510">
        <f>SUM(AV17:AV98)</f>
        <v>7673</v>
      </c>
    </row>
    <row r="100" spans="1:48" s="336" customFormat="1" ht="21" customHeight="1">
      <c r="A100" s="20"/>
      <c r="B100" s="20"/>
      <c r="C100" s="20"/>
      <c r="D100" s="294"/>
      <c r="E100" s="294"/>
      <c r="F100" s="294"/>
      <c r="G100" s="330"/>
      <c r="H100" s="330"/>
      <c r="I100" s="330"/>
      <c r="J100" s="330"/>
      <c r="K100" s="331"/>
      <c r="L100" s="332"/>
      <c r="M100" s="330"/>
      <c r="N100" s="333"/>
      <c r="O100" s="332"/>
      <c r="P100" s="333"/>
      <c r="Q100" s="332"/>
      <c r="R100" s="333"/>
      <c r="S100" s="332"/>
      <c r="T100" s="333"/>
      <c r="U100" s="295"/>
      <c r="V100" s="295"/>
      <c r="W100" s="295"/>
      <c r="X100" s="295"/>
      <c r="Y100" s="295"/>
      <c r="Z100" s="295"/>
      <c r="AA100" s="295"/>
      <c r="AB100" s="296"/>
      <c r="AC100" s="297"/>
      <c r="AD100" s="296"/>
      <c r="AE100" s="297"/>
      <c r="AF100" s="296"/>
      <c r="AG100" s="297"/>
      <c r="AH100" s="296"/>
      <c r="AI100" s="297"/>
      <c r="AJ100" s="478"/>
      <c r="AK100" s="299"/>
      <c r="AL100" s="334"/>
      <c r="AM100" s="297"/>
      <c r="AN100" s="296"/>
      <c r="AO100" s="297"/>
      <c r="AP100" s="298"/>
      <c r="AQ100" s="335"/>
      <c r="AR100" s="333"/>
      <c r="AS100" s="333"/>
      <c r="AT100" s="331"/>
      <c r="AU100" s="333"/>
      <c r="AV100" s="331"/>
    </row>
    <row r="101" spans="1:48" s="336" customFormat="1" ht="21" hidden="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292" customFormat="1" ht="20.25" hidden="1">
      <c r="A102" s="301"/>
      <c r="B102" s="301"/>
      <c r="C102" s="301"/>
      <c r="D102" s="302"/>
      <c r="E102" s="301"/>
      <c r="F102" s="303" t="s">
        <v>205</v>
      </c>
      <c r="G102" s="303"/>
      <c r="H102" s="303" t="s">
        <v>208</v>
      </c>
      <c r="I102" s="303"/>
      <c r="J102" s="304"/>
      <c r="K102" s="304"/>
      <c r="L102" s="304"/>
      <c r="M102" s="304"/>
      <c r="N102" s="304"/>
      <c r="O102" s="304"/>
      <c r="P102" s="304"/>
      <c r="Q102" s="304"/>
      <c r="R102" s="304"/>
      <c r="S102" s="304"/>
      <c r="T102" s="304"/>
      <c r="U102" s="303"/>
      <c r="V102" s="303"/>
      <c r="X102" s="303"/>
      <c r="Y102" s="303"/>
      <c r="Z102" s="303"/>
      <c r="AA102" s="303" t="s">
        <v>208</v>
      </c>
      <c r="AB102" s="303"/>
      <c r="AC102" s="303"/>
      <c r="AD102" s="303"/>
      <c r="AE102" s="303"/>
      <c r="AF102" s="303"/>
      <c r="AG102" s="303"/>
      <c r="AH102" s="303"/>
      <c r="AI102" s="303"/>
      <c r="AJ102" s="479"/>
      <c r="AK102" s="303"/>
      <c r="AL102" s="301"/>
      <c r="AM102" s="303"/>
      <c r="AN102" s="305"/>
      <c r="AO102" s="306"/>
      <c r="AP102" s="307"/>
      <c r="AQ102" s="302"/>
      <c r="AR102" s="308"/>
      <c r="AS102" s="308"/>
      <c r="AT102" s="302"/>
      <c r="AU102" s="302"/>
      <c r="AV102" s="302"/>
    </row>
    <row r="103" spans="1:48" s="292" customFormat="1" ht="20.25" hidden="1">
      <c r="A103" s="301"/>
      <c r="B103" s="301"/>
      <c r="C103" s="301"/>
      <c r="D103" s="302"/>
      <c r="E103" s="301"/>
      <c r="F103" s="303"/>
      <c r="G103" s="303"/>
      <c r="H103" s="303"/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/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15" hidden="1" customHeight="1">
      <c r="A105" s="309"/>
      <c r="B105" s="309"/>
      <c r="C105" s="309"/>
      <c r="D105" s="302"/>
      <c r="E105" s="309"/>
      <c r="F105" s="310"/>
      <c r="G105" s="310"/>
      <c r="H105" s="308"/>
      <c r="I105" s="308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8"/>
      <c r="V105" s="311"/>
      <c r="AA105" s="311"/>
      <c r="AJ105" s="480"/>
      <c r="AK105" s="312"/>
      <c r="AL105" s="309"/>
      <c r="AM105" s="31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8" hidden="1" customHeight="1">
      <c r="A106" s="314" t="s">
        <v>12</v>
      </c>
      <c r="B106" s="314"/>
      <c r="C106" s="314"/>
      <c r="D106" s="315"/>
      <c r="E106" s="314"/>
      <c r="F106" s="316" t="s">
        <v>206</v>
      </c>
      <c r="G106" s="316"/>
      <c r="H106" s="736" t="s">
        <v>209</v>
      </c>
      <c r="I106" s="736"/>
      <c r="J106" s="736"/>
      <c r="K106" s="317"/>
      <c r="L106" s="317"/>
      <c r="M106" s="317"/>
      <c r="N106" s="317"/>
      <c r="O106" s="317"/>
      <c r="P106" s="317"/>
      <c r="Q106" s="317"/>
      <c r="R106" s="317"/>
      <c r="S106" s="317"/>
      <c r="T106" s="317"/>
      <c r="U106" s="318"/>
      <c r="V106" s="319"/>
      <c r="X106" s="303"/>
      <c r="Y106" s="316"/>
      <c r="Z106" s="316"/>
      <c r="AA106" s="320" t="s">
        <v>209</v>
      </c>
      <c r="AB106" s="316"/>
      <c r="AC106" s="316"/>
      <c r="AD106" s="316"/>
      <c r="AE106" s="316"/>
      <c r="AF106" s="316"/>
      <c r="AG106" s="316"/>
      <c r="AH106" s="316"/>
      <c r="AI106" s="316"/>
      <c r="AJ106" s="481"/>
      <c r="AK106" s="316"/>
      <c r="AL106" s="314"/>
      <c r="AM106" s="316"/>
      <c r="AN106" s="314"/>
      <c r="AO106" s="321"/>
      <c r="AP106" s="307"/>
      <c r="AQ106" s="302"/>
      <c r="AR106" s="308"/>
      <c r="AS106" s="308"/>
      <c r="AT106" s="302"/>
      <c r="AU106" s="302"/>
      <c r="AV106" s="302"/>
    </row>
    <row r="107" spans="1:48" s="62" customFormat="1" ht="18.75" hidden="1">
      <c r="A107" s="11"/>
      <c r="B107" s="11"/>
      <c r="C107" s="11"/>
      <c r="D107" s="255"/>
      <c r="E107" s="11"/>
      <c r="F107" s="322"/>
      <c r="G107" s="322"/>
      <c r="H107" s="322"/>
      <c r="I107" s="322"/>
      <c r="J107" s="323"/>
      <c r="K107" s="323"/>
      <c r="L107" s="323"/>
      <c r="M107" s="323"/>
      <c r="N107" s="323"/>
      <c r="O107" s="323"/>
      <c r="P107" s="323"/>
      <c r="Q107" s="323"/>
      <c r="R107" s="323"/>
      <c r="S107" s="323"/>
      <c r="T107" s="323"/>
      <c r="U107" s="322"/>
      <c r="V107" s="322"/>
      <c r="W107" s="322"/>
      <c r="X107" s="322"/>
      <c r="Y107" s="322"/>
      <c r="Z107" s="322"/>
      <c r="AA107" s="322"/>
      <c r="AB107" s="322"/>
      <c r="AC107" s="322"/>
      <c r="AD107" s="322"/>
      <c r="AE107" s="322"/>
      <c r="AF107" s="322"/>
      <c r="AG107" s="322"/>
      <c r="AH107" s="322"/>
      <c r="AI107" s="322"/>
      <c r="AJ107" s="482"/>
      <c r="AK107" s="322"/>
      <c r="AL107" s="324"/>
      <c r="AM107" s="322"/>
      <c r="AN107" s="281"/>
      <c r="AO107" s="325"/>
      <c r="AP107" s="326"/>
      <c r="AQ107" s="618"/>
      <c r="AR107" s="255"/>
      <c r="AS107" s="255"/>
      <c r="AT107" s="618"/>
      <c r="AU107" s="618"/>
      <c r="AV107" s="618"/>
    </row>
    <row r="108" spans="1:48" s="103" customFormat="1" ht="57.75" hidden="1" customHeight="1">
      <c r="A108" s="11"/>
      <c r="B108" s="11"/>
      <c r="C108" s="11"/>
      <c r="D108" s="255"/>
      <c r="E108" s="720" t="s">
        <v>207</v>
      </c>
      <c r="F108" s="720"/>
      <c r="G108" s="327"/>
      <c r="H108" s="328"/>
      <c r="I108" s="328"/>
      <c r="J108" s="328"/>
      <c r="K108" s="328"/>
      <c r="L108" s="328"/>
      <c r="M108" s="328"/>
      <c r="N108" s="328"/>
      <c r="O108" s="328"/>
      <c r="P108" s="328"/>
      <c r="Q108" s="328"/>
      <c r="R108" s="328"/>
      <c r="S108" s="328"/>
      <c r="T108" s="328"/>
      <c r="U108" s="328"/>
      <c r="V108" s="329"/>
      <c r="W108" s="329"/>
      <c r="X108" s="11"/>
      <c r="Y108" s="11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483"/>
      <c r="AK108" s="11"/>
      <c r="AL108" s="281"/>
      <c r="AM108" s="11"/>
      <c r="AN108" s="281"/>
      <c r="AP108" s="326"/>
      <c r="AQ108" s="618"/>
      <c r="AR108" s="255"/>
      <c r="AS108" s="255"/>
      <c r="AT108" s="618"/>
      <c r="AU108" s="618"/>
      <c r="AV108" s="618"/>
    </row>
  </sheetData>
  <mergeCells count="40">
    <mergeCell ref="D11:AV11"/>
    <mergeCell ref="E6:AT6"/>
    <mergeCell ref="D7:AV7"/>
    <mergeCell ref="D8:AV8"/>
    <mergeCell ref="D9:AV9"/>
    <mergeCell ref="D10:AV10"/>
    <mergeCell ref="E108:F108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99:F99"/>
    <mergeCell ref="H106:J106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9"/>
  <sheetViews>
    <sheetView view="pageBreakPreview" topLeftCell="C90" zoomScale="70" zoomScaleSheetLayoutView="70" workbookViewId="0">
      <selection activeCell="BA99" sqref="BA99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24"/>
      <c r="AR1" s="255"/>
      <c r="AS1" s="255"/>
      <c r="AT1" s="624"/>
      <c r="AU1" s="624"/>
      <c r="AV1" s="62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2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2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344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24"/>
      <c r="AR12" s="255"/>
      <c r="AS12" s="255"/>
      <c r="AT12" s="625"/>
      <c r="AU12" s="625"/>
      <c r="AV12" s="62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342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25"/>
      <c r="D16" s="748"/>
      <c r="E16" s="685"/>
      <c r="F16" s="685"/>
      <c r="G16" s="202"/>
      <c r="H16" s="201"/>
      <c r="I16" s="201"/>
      <c r="J16" s="241"/>
      <c r="K16" s="241"/>
      <c r="L16" s="241"/>
      <c r="M16" s="623" t="s">
        <v>77</v>
      </c>
      <c r="N16" s="623" t="s">
        <v>78</v>
      </c>
      <c r="O16" s="623" t="s">
        <v>77</v>
      </c>
      <c r="P16" s="623" t="s">
        <v>78</v>
      </c>
      <c r="Q16" s="623" t="s">
        <v>77</v>
      </c>
      <c r="R16" s="623" t="s">
        <v>78</v>
      </c>
      <c r="S16" s="623" t="s">
        <v>77</v>
      </c>
      <c r="T16" s="62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22" t="s">
        <v>77</v>
      </c>
      <c r="AE16" s="622" t="s">
        <v>78</v>
      </c>
      <c r="AF16" s="205" t="s">
        <v>77</v>
      </c>
      <c r="AG16" s="205" t="s">
        <v>78</v>
      </c>
      <c r="AH16" s="622" t="s">
        <v>77</v>
      </c>
      <c r="AI16" s="622" t="s">
        <v>78</v>
      </c>
      <c r="AJ16" s="207" t="s">
        <v>96</v>
      </c>
      <c r="AK16" s="96" t="s">
        <v>19</v>
      </c>
      <c r="AL16" s="620" t="s">
        <v>96</v>
      </c>
      <c r="AM16" s="620" t="s">
        <v>19</v>
      </c>
      <c r="AN16" s="216" t="s">
        <v>96</v>
      </c>
      <c r="AO16" s="216" t="s">
        <v>19</v>
      </c>
      <c r="AP16" s="207" t="s">
        <v>96</v>
      </c>
      <c r="AQ16" s="620" t="s">
        <v>96</v>
      </c>
      <c r="AR16" s="620" t="s">
        <v>107</v>
      </c>
      <c r="AS16" s="620" t="s">
        <v>19</v>
      </c>
      <c r="AT16" s="621" t="s">
        <v>96</v>
      </c>
      <c r="AU16" s="621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119" customFormat="1" ht="24.75" customHeight="1">
      <c r="A18" s="116"/>
      <c r="B18" s="117"/>
      <c r="C18" s="137"/>
      <c r="D18" s="192"/>
      <c r="E18" s="79" t="s">
        <v>27</v>
      </c>
      <c r="F18" s="52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2" si="0">J18*K18</f>
        <v>0</v>
      </c>
      <c r="N18" s="243">
        <f t="shared" ref="N18:N82" si="1">L18*M18</f>
        <v>0</v>
      </c>
      <c r="O18" s="193"/>
      <c r="P18" s="243"/>
      <c r="Q18" s="193"/>
      <c r="R18" s="243"/>
      <c r="S18" s="193"/>
      <c r="T18" s="243"/>
      <c r="U18" s="527"/>
      <c r="V18" s="192">
        <v>833</v>
      </c>
      <c r="W18" s="528">
        <v>42347</v>
      </c>
      <c r="X18" s="192">
        <v>65</v>
      </c>
      <c r="Y18" s="199">
        <v>42396</v>
      </c>
      <c r="Z18" s="192"/>
      <c r="AA18" s="192"/>
      <c r="AB18" s="529">
        <v>1</v>
      </c>
      <c r="AC18" s="530">
        <v>1026.1600000000001</v>
      </c>
      <c r="AD18" s="531"/>
      <c r="AE18" s="530"/>
      <c r="AF18" s="531"/>
      <c r="AG18" s="530"/>
      <c r="AH18" s="531"/>
      <c r="AI18" s="530"/>
      <c r="AJ18" s="247"/>
      <c r="AK18" s="170">
        <f>AE18+AG18+AI18</f>
        <v>0</v>
      </c>
      <c r="AL18" s="272"/>
      <c r="AM18" s="212"/>
      <c r="AN18" s="227">
        <v>1</v>
      </c>
      <c r="AO18" s="217">
        <f t="shared" ref="AO18:AO82" si="2">AC18+AK18-AM18</f>
        <v>1026.1600000000001</v>
      </c>
      <c r="AP18" s="232"/>
      <c r="AQ18" s="229"/>
      <c r="AR18" s="212">
        <v>1026.1600000000001</v>
      </c>
      <c r="AS18" s="212">
        <f t="shared" ref="AS18:AS97" si="3">AQ18*AR18</f>
        <v>0</v>
      </c>
      <c r="AT18" s="247">
        <f>AV18</f>
        <v>0</v>
      </c>
      <c r="AU18" s="228">
        <f t="shared" ref="AU18:AU97" si="4">AT18*AR18</f>
        <v>0</v>
      </c>
      <c r="AV18" s="247">
        <v>0</v>
      </c>
      <c r="AW18" s="518" t="s">
        <v>288</v>
      </c>
    </row>
    <row r="19" spans="1:49" s="89" customFormat="1" ht="24.75" customHeight="1">
      <c r="A19" s="80"/>
      <c r="B19" s="81"/>
      <c r="C19" s="137"/>
      <c r="D19" s="192"/>
      <c r="E19" s="100" t="s">
        <v>36</v>
      </c>
      <c r="F19" s="52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527"/>
      <c r="V19" s="192">
        <v>1034</v>
      </c>
      <c r="W19" s="528">
        <v>42647</v>
      </c>
      <c r="X19" s="192">
        <v>1232</v>
      </c>
      <c r="Y19" s="199">
        <v>42396</v>
      </c>
      <c r="Z19" s="192"/>
      <c r="AA19" s="192"/>
      <c r="AB19" s="529">
        <v>1</v>
      </c>
      <c r="AC19" s="530">
        <v>1026.1600000000001</v>
      </c>
      <c r="AD19" s="531"/>
      <c r="AE19" s="530"/>
      <c r="AF19" s="531"/>
      <c r="AG19" s="530"/>
      <c r="AH19" s="531"/>
      <c r="AI19" s="530"/>
      <c r="AJ19" s="247"/>
      <c r="AK19" s="170">
        <f t="shared" ref="AK19:AK97" si="5">AE19+AG19+AI19</f>
        <v>0</v>
      </c>
      <c r="AL19" s="272"/>
      <c r="AM19" s="212"/>
      <c r="AN19" s="269"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47">
        <f t="shared" ref="AT19:AT86" si="6">AV19</f>
        <v>0</v>
      </c>
      <c r="AU19" s="228">
        <f t="shared" si="4"/>
        <v>0</v>
      </c>
      <c r="AV19" s="247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f t="shared" si="6"/>
        <v>1</v>
      </c>
      <c r="AU22" s="228">
        <f t="shared" si="4"/>
        <v>2094.4</v>
      </c>
      <c r="AV22" s="247">
        <v>1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f t="shared" si="6"/>
        <v>1</v>
      </c>
      <c r="AU23" s="228">
        <f t="shared" si="4"/>
        <v>2094.4</v>
      </c>
      <c r="AV23" s="247">
        <v>1</v>
      </c>
    </row>
    <row r="24" spans="1:49" s="62" customFormat="1" ht="26.25" customHeight="1">
      <c r="A24" s="59"/>
      <c r="B24" s="60"/>
      <c r="C24" s="137"/>
      <c r="D24" s="192"/>
      <c r="E24" s="79" t="s">
        <v>24</v>
      </c>
      <c r="F24" s="525" t="s">
        <v>58</v>
      </c>
      <c r="G24" s="222" t="s">
        <v>123</v>
      </c>
      <c r="H24" s="193" t="s">
        <v>91</v>
      </c>
      <c r="I24" s="193" t="s">
        <v>91</v>
      </c>
      <c r="J24" s="193">
        <v>5</v>
      </c>
      <c r="K24" s="193">
        <v>5</v>
      </c>
      <c r="L24" s="243">
        <v>2899.28</v>
      </c>
      <c r="M24" s="242">
        <f>J24*K24</f>
        <v>25</v>
      </c>
      <c r="N24" s="243">
        <f>L24*M24</f>
        <v>72482</v>
      </c>
      <c r="O24" s="193">
        <v>4</v>
      </c>
      <c r="P24" s="243">
        <v>8377.6</v>
      </c>
      <c r="Q24" s="193"/>
      <c r="R24" s="243"/>
      <c r="S24" s="193"/>
      <c r="T24" s="243"/>
      <c r="U24" s="527" t="s">
        <v>122</v>
      </c>
      <c r="V24" s="193">
        <v>1745</v>
      </c>
      <c r="W24" s="532">
        <v>43096</v>
      </c>
      <c r="X24" s="193" t="s">
        <v>117</v>
      </c>
      <c r="Y24" s="200">
        <v>43109</v>
      </c>
      <c r="Z24" s="193" t="s">
        <v>118</v>
      </c>
      <c r="AA24" s="200">
        <v>43133</v>
      </c>
      <c r="AB24" s="192">
        <v>0</v>
      </c>
      <c r="AC24" s="530">
        <v>0</v>
      </c>
      <c r="AD24" s="531">
        <v>4</v>
      </c>
      <c r="AE24" s="530">
        <v>9062.24</v>
      </c>
      <c r="AF24" s="531"/>
      <c r="AG24" s="530"/>
      <c r="AH24" s="531"/>
      <c r="AI24" s="530"/>
      <c r="AJ24" s="247"/>
      <c r="AK24" s="170">
        <f>AE24+AG24+AI24</f>
        <v>9062.24</v>
      </c>
      <c r="AL24" s="272">
        <v>0</v>
      </c>
      <c r="AM24" s="212">
        <v>0</v>
      </c>
      <c r="AN24" s="269">
        <v>4</v>
      </c>
      <c r="AO24" s="217">
        <f>AC24+AK24-AM24</f>
        <v>9062.24</v>
      </c>
      <c r="AP24" s="232"/>
      <c r="AQ24" s="229"/>
      <c r="AR24" s="212">
        <v>2265.56</v>
      </c>
      <c r="AS24" s="212">
        <f>AQ24*AR24</f>
        <v>0</v>
      </c>
      <c r="AT24" s="247">
        <f t="shared" si="6"/>
        <v>0</v>
      </c>
      <c r="AU24" s="249">
        <f>AT24*AR24</f>
        <v>0</v>
      </c>
      <c r="AV24" s="247">
        <v>0</v>
      </c>
      <c r="AW24" s="533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f t="shared" si="6"/>
        <v>1</v>
      </c>
      <c r="AU25" s="249">
        <f>AT25*AR25</f>
        <v>2265.56</v>
      </c>
      <c r="AV25" s="247">
        <v>1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148</v>
      </c>
      <c r="AU34" s="228"/>
      <c r="AV34" s="279">
        <v>148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148</v>
      </c>
      <c r="AU39" s="228"/>
      <c r="AV39" s="279">
        <v>148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13</v>
      </c>
      <c r="AU40" s="228"/>
      <c r="AV40" s="279">
        <v>13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40</v>
      </c>
      <c r="AU41" s="228"/>
      <c r="AV41" s="279">
        <v>40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45</v>
      </c>
      <c r="AU42" s="228"/>
      <c r="AV42" s="279">
        <v>45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134</v>
      </c>
      <c r="AU48" s="386">
        <f>AT48*AR48</f>
        <v>65586.3</v>
      </c>
      <c r="AV48" s="279">
        <v>134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467</v>
      </c>
      <c r="AU54" s="386"/>
      <c r="AV54" s="279">
        <v>467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customHeight="1">
      <c r="A59" s="59"/>
      <c r="B59" s="60"/>
      <c r="C59" s="137"/>
      <c r="D59" s="192"/>
      <c r="E59" s="79" t="s">
        <v>24</v>
      </c>
      <c r="F59" s="525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527" t="s">
        <v>133</v>
      </c>
      <c r="V59" s="193">
        <v>234</v>
      </c>
      <c r="W59" s="532">
        <v>43143</v>
      </c>
      <c r="X59" s="193" t="s">
        <v>143</v>
      </c>
      <c r="Y59" s="200">
        <v>43164</v>
      </c>
      <c r="Z59" s="193"/>
      <c r="AA59" s="193"/>
      <c r="AB59" s="192">
        <v>0</v>
      </c>
      <c r="AC59" s="530">
        <v>0</v>
      </c>
      <c r="AD59" s="531">
        <v>320</v>
      </c>
      <c r="AE59" s="530">
        <v>64697.599999999999</v>
      </c>
      <c r="AF59" s="531"/>
      <c r="AG59" s="530"/>
      <c r="AH59" s="531"/>
      <c r="AI59" s="530"/>
      <c r="AJ59" s="247"/>
      <c r="AK59" s="170">
        <f t="shared" si="5"/>
        <v>64697.599999999999</v>
      </c>
      <c r="AL59" s="272">
        <v>0</v>
      </c>
      <c r="AM59" s="212">
        <v>0</v>
      </c>
      <c r="AN59" s="269">
        <v>320</v>
      </c>
      <c r="AO59" s="217">
        <f t="shared" si="2"/>
        <v>64697.599999999999</v>
      </c>
      <c r="AP59" s="232"/>
      <c r="AQ59" s="229"/>
      <c r="AR59" s="212">
        <v>202.18</v>
      </c>
      <c r="AS59" s="212">
        <f t="shared" si="3"/>
        <v>0</v>
      </c>
      <c r="AT59" s="247">
        <f t="shared" si="6"/>
        <v>0</v>
      </c>
      <c r="AU59" s="249">
        <f t="shared" si="4"/>
        <v>0</v>
      </c>
      <c r="AV59" s="247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47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customHeight="1">
      <c r="A61" s="59"/>
      <c r="B61" s="60"/>
      <c r="C61" s="137"/>
      <c r="D61" s="192"/>
      <c r="E61" s="79" t="s">
        <v>24</v>
      </c>
      <c r="F61" s="525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527" t="s">
        <v>133</v>
      </c>
      <c r="V61" s="193">
        <v>356</v>
      </c>
      <c r="W61" s="532">
        <v>43159</v>
      </c>
      <c r="X61" s="193" t="s">
        <v>136</v>
      </c>
      <c r="Y61" s="200">
        <v>43164</v>
      </c>
      <c r="Z61" s="193"/>
      <c r="AA61" s="193"/>
      <c r="AB61" s="192">
        <v>0</v>
      </c>
      <c r="AC61" s="530">
        <v>0</v>
      </c>
      <c r="AD61" s="531">
        <v>170</v>
      </c>
      <c r="AE61" s="530">
        <v>34370.6</v>
      </c>
      <c r="AF61" s="531"/>
      <c r="AG61" s="530"/>
      <c r="AH61" s="531"/>
      <c r="AI61" s="530"/>
      <c r="AJ61" s="247"/>
      <c r="AK61" s="170">
        <f t="shared" si="5"/>
        <v>34370.6</v>
      </c>
      <c r="AL61" s="272">
        <v>0</v>
      </c>
      <c r="AM61" s="212">
        <v>0</v>
      </c>
      <c r="AN61" s="269">
        <v>170</v>
      </c>
      <c r="AO61" s="217">
        <f t="shared" si="2"/>
        <v>34370.6</v>
      </c>
      <c r="AP61" s="232"/>
      <c r="AQ61" s="229"/>
      <c r="AR61" s="212">
        <v>202.18</v>
      </c>
      <c r="AS61" s="212">
        <f t="shared" si="3"/>
        <v>0</v>
      </c>
      <c r="AT61" s="247">
        <f t="shared" si="6"/>
        <v>0</v>
      </c>
      <c r="AU61" s="228">
        <f t="shared" si="4"/>
        <v>0</v>
      </c>
      <c r="AV61" s="247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385</v>
      </c>
      <c r="AU62" s="249">
        <f t="shared" si="4"/>
        <v>77839.3</v>
      </c>
      <c r="AV62" s="247">
        <v>385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205</v>
      </c>
      <c r="AU65" s="249">
        <f t="shared" si="4"/>
        <v>41446.9</v>
      </c>
      <c r="AV65" s="247">
        <v>205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104</v>
      </c>
      <c r="AU79" s="386"/>
      <c r="AV79" s="279">
        <v>104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296</v>
      </c>
      <c r="AU83" s="228"/>
      <c r="AV83" s="279">
        <v>296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9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150" t="s">
        <v>57</v>
      </c>
      <c r="G92" s="222" t="s">
        <v>279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266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610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9"/>
        <v>0</v>
      </c>
      <c r="AU92" s="228"/>
      <c r="AV92" s="279">
        <v>0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271</v>
      </c>
      <c r="AU93" s="228"/>
      <c r="AV93" s="279">
        <v>271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724</v>
      </c>
      <c r="AU94" s="228"/>
      <c r="AV94" s="279">
        <v>724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60"/>
      <c r="D98" s="22"/>
      <c r="E98" s="79"/>
      <c r="F98" s="632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62" customFormat="1" ht="38.25">
      <c r="A99" s="59"/>
      <c r="B99" s="60"/>
      <c r="C99" s="427"/>
      <c r="D99" s="428"/>
      <c r="E99" s="79"/>
      <c r="F99" s="632" t="s">
        <v>339</v>
      </c>
      <c r="G99" s="222" t="s">
        <v>340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07" t="s">
        <v>345</v>
      </c>
      <c r="V99" s="608"/>
      <c r="W99" s="609"/>
      <c r="X99" s="610"/>
      <c r="Y99" s="611"/>
      <c r="Z99" s="610"/>
      <c r="AA99" s="610"/>
      <c r="AB99" s="22"/>
      <c r="AC99" s="170"/>
      <c r="AD99" s="209"/>
      <c r="AE99" s="194"/>
      <c r="AF99" s="209"/>
      <c r="AG99" s="194"/>
      <c r="AH99" s="209"/>
      <c r="AI99" s="194"/>
      <c r="AJ99" s="232">
        <v>36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36</v>
      </c>
      <c r="AU99" s="228"/>
      <c r="AV99" s="279">
        <v>36</v>
      </c>
    </row>
    <row r="100" spans="1:48" s="251" customFormat="1" ht="21" customHeight="1">
      <c r="A100" s="20" t="s">
        <v>11</v>
      </c>
      <c r="B100" s="20"/>
      <c r="C100" s="20"/>
      <c r="D100" s="695" t="s">
        <v>34</v>
      </c>
      <c r="E100" s="696"/>
      <c r="F100" s="697"/>
      <c r="G100" s="246"/>
      <c r="H100" s="246"/>
      <c r="I100" s="246"/>
      <c r="J100" s="246"/>
      <c r="K100" s="247">
        <f>SUM(K17:K97)</f>
        <v>24</v>
      </c>
      <c r="L100" s="248"/>
      <c r="M100" s="246"/>
      <c r="N100" s="249">
        <f>SUM(N17:N97)</f>
        <v>2156307.44</v>
      </c>
      <c r="O100" s="248"/>
      <c r="P100" s="249">
        <f>SUM(P17:P97)</f>
        <v>1298976.4000000001</v>
      </c>
      <c r="Q100" s="248"/>
      <c r="R100" s="249">
        <f>SUM(R17:R97)</f>
        <v>928054.79999999993</v>
      </c>
      <c r="S100" s="248"/>
      <c r="T100" s="249">
        <f>SUM(T17:T97)</f>
        <v>466648.98</v>
      </c>
      <c r="U100" s="291" t="s">
        <v>156</v>
      </c>
      <c r="V100" s="291" t="s">
        <v>156</v>
      </c>
      <c r="W100" s="291" t="s">
        <v>156</v>
      </c>
      <c r="X100" s="250" t="s">
        <v>156</v>
      </c>
      <c r="Y100" s="250" t="s">
        <v>156</v>
      </c>
      <c r="Z100" s="250" t="s">
        <v>156</v>
      </c>
      <c r="AA100" s="250" t="s">
        <v>156</v>
      </c>
      <c r="AB100" s="176">
        <f>SUM(AB17:AB48)</f>
        <v>140</v>
      </c>
      <c r="AC100" s="171">
        <f>SUM(AC17:AC76)</f>
        <v>77947.959999999992</v>
      </c>
      <c r="AD100" s="210">
        <f t="shared" ref="AD100:AQ100" si="13">SUM(AD17:AD97)</f>
        <v>4914</v>
      </c>
      <c r="AE100" s="195">
        <f t="shared" si="13"/>
        <v>1078752.51</v>
      </c>
      <c r="AF100" s="210">
        <f t="shared" si="13"/>
        <v>0</v>
      </c>
      <c r="AG100" s="195">
        <f t="shared" si="13"/>
        <v>0</v>
      </c>
      <c r="AH100" s="210">
        <f t="shared" si="13"/>
        <v>0</v>
      </c>
      <c r="AI100" s="195">
        <f t="shared" si="13"/>
        <v>0</v>
      </c>
      <c r="AJ100" s="210">
        <f>SUM(AJ17:AJ99)</f>
        <v>8492</v>
      </c>
      <c r="AK100" s="175">
        <f t="shared" si="13"/>
        <v>1078752.51</v>
      </c>
      <c r="AL100" s="213">
        <f t="shared" si="13"/>
        <v>742</v>
      </c>
      <c r="AM100" s="214">
        <f t="shared" si="13"/>
        <v>175808.55000000005</v>
      </c>
      <c r="AN100" s="218">
        <f t="shared" si="13"/>
        <v>4312</v>
      </c>
      <c r="AO100" s="219">
        <f t="shared" si="13"/>
        <v>964298.99000000011</v>
      </c>
      <c r="AP100" s="286">
        <f t="shared" si="13"/>
        <v>0</v>
      </c>
      <c r="AQ100" s="287">
        <f t="shared" si="13"/>
        <v>0</v>
      </c>
      <c r="AR100" s="226" t="s">
        <v>156</v>
      </c>
      <c r="AS100" s="226">
        <f>SUM(AS17:AS97)</f>
        <v>0</v>
      </c>
      <c r="AT100" s="227">
        <f>SUM(AT17:AT99)</f>
        <v>7709</v>
      </c>
      <c r="AU100" s="228">
        <f>SUM(AU17:AU97)</f>
        <v>435882.74000000005</v>
      </c>
      <c r="AV100" s="510">
        <f>SUM(AV17:AV99)</f>
        <v>7709</v>
      </c>
    </row>
    <row r="101" spans="1:48" s="336" customFormat="1" ht="2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336" customFormat="1" ht="21" hidden="1" customHeight="1">
      <c r="A102" s="20"/>
      <c r="B102" s="20"/>
      <c r="C102" s="20"/>
      <c r="D102" s="294"/>
      <c r="E102" s="294"/>
      <c r="F102" s="294"/>
      <c r="G102" s="330"/>
      <c r="H102" s="330"/>
      <c r="I102" s="330"/>
      <c r="J102" s="330"/>
      <c r="K102" s="331"/>
      <c r="L102" s="332"/>
      <c r="M102" s="330"/>
      <c r="N102" s="333"/>
      <c r="O102" s="332"/>
      <c r="P102" s="333"/>
      <c r="Q102" s="332"/>
      <c r="R102" s="333"/>
      <c r="S102" s="332"/>
      <c r="T102" s="333"/>
      <c r="U102" s="295"/>
      <c r="V102" s="295"/>
      <c r="W102" s="295"/>
      <c r="X102" s="295"/>
      <c r="Y102" s="295"/>
      <c r="Z102" s="295"/>
      <c r="AA102" s="295"/>
      <c r="AB102" s="296"/>
      <c r="AC102" s="297"/>
      <c r="AD102" s="296"/>
      <c r="AE102" s="297"/>
      <c r="AF102" s="296"/>
      <c r="AG102" s="297"/>
      <c r="AH102" s="296"/>
      <c r="AI102" s="297"/>
      <c r="AJ102" s="478"/>
      <c r="AK102" s="299"/>
      <c r="AL102" s="334"/>
      <c r="AM102" s="297"/>
      <c r="AN102" s="296"/>
      <c r="AO102" s="297"/>
      <c r="AP102" s="298"/>
      <c r="AQ102" s="335"/>
      <c r="AR102" s="333"/>
      <c r="AS102" s="333"/>
      <c r="AT102" s="331"/>
      <c r="AU102" s="333"/>
      <c r="AV102" s="331"/>
    </row>
    <row r="103" spans="1:48" s="292" customFormat="1" ht="20.25" hidden="1">
      <c r="A103" s="301"/>
      <c r="B103" s="301"/>
      <c r="C103" s="301"/>
      <c r="D103" s="302"/>
      <c r="E103" s="301"/>
      <c r="F103" s="303" t="s">
        <v>205</v>
      </c>
      <c r="G103" s="303"/>
      <c r="H103" s="303" t="s">
        <v>208</v>
      </c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 t="s">
        <v>208</v>
      </c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20.25" hidden="1">
      <c r="A105" s="301"/>
      <c r="B105" s="301"/>
      <c r="C105" s="301"/>
      <c r="D105" s="302"/>
      <c r="E105" s="301"/>
      <c r="F105" s="303"/>
      <c r="G105" s="303"/>
      <c r="H105" s="303"/>
      <c r="I105" s="303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3"/>
      <c r="V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479"/>
      <c r="AK105" s="303"/>
      <c r="AL105" s="301"/>
      <c r="AM105" s="30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5" hidden="1" customHeight="1">
      <c r="A106" s="309"/>
      <c r="B106" s="309"/>
      <c r="C106" s="309"/>
      <c r="D106" s="302"/>
      <c r="E106" s="309"/>
      <c r="F106" s="310"/>
      <c r="G106" s="310"/>
      <c r="H106" s="308"/>
      <c r="I106" s="308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8"/>
      <c r="V106" s="311"/>
      <c r="AA106" s="311"/>
      <c r="AJ106" s="480"/>
      <c r="AK106" s="312"/>
      <c r="AL106" s="309"/>
      <c r="AM106" s="313"/>
      <c r="AN106" s="305"/>
      <c r="AO106" s="306"/>
      <c r="AP106" s="307"/>
      <c r="AQ106" s="302"/>
      <c r="AR106" s="308"/>
      <c r="AS106" s="308"/>
      <c r="AT106" s="302"/>
      <c r="AU106" s="302"/>
      <c r="AV106" s="302"/>
    </row>
    <row r="107" spans="1:48" s="292" customFormat="1" ht="18" hidden="1" customHeight="1">
      <c r="A107" s="314" t="s">
        <v>12</v>
      </c>
      <c r="B107" s="314"/>
      <c r="C107" s="314"/>
      <c r="D107" s="315"/>
      <c r="E107" s="314"/>
      <c r="F107" s="316" t="s">
        <v>206</v>
      </c>
      <c r="G107" s="316"/>
      <c r="H107" s="736" t="s">
        <v>209</v>
      </c>
      <c r="I107" s="736"/>
      <c r="J107" s="736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8"/>
      <c r="V107" s="319"/>
      <c r="X107" s="303"/>
      <c r="Y107" s="316"/>
      <c r="Z107" s="316"/>
      <c r="AA107" s="320" t="s">
        <v>209</v>
      </c>
      <c r="AB107" s="316"/>
      <c r="AC107" s="316"/>
      <c r="AD107" s="316"/>
      <c r="AE107" s="316"/>
      <c r="AF107" s="316"/>
      <c r="AG107" s="316"/>
      <c r="AH107" s="316"/>
      <c r="AI107" s="316"/>
      <c r="AJ107" s="481"/>
      <c r="AK107" s="316"/>
      <c r="AL107" s="314"/>
      <c r="AM107" s="316"/>
      <c r="AN107" s="314"/>
      <c r="AO107" s="321"/>
      <c r="AP107" s="307"/>
      <c r="AQ107" s="302"/>
      <c r="AR107" s="308"/>
      <c r="AS107" s="308"/>
      <c r="AT107" s="302"/>
      <c r="AU107" s="302"/>
      <c r="AV107" s="302"/>
    </row>
    <row r="108" spans="1:48" s="62" customFormat="1" ht="18.75" hidden="1">
      <c r="A108" s="11"/>
      <c r="B108" s="11"/>
      <c r="C108" s="11"/>
      <c r="D108" s="255"/>
      <c r="E108" s="11"/>
      <c r="F108" s="322"/>
      <c r="G108" s="322"/>
      <c r="H108" s="322"/>
      <c r="I108" s="322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482"/>
      <c r="AK108" s="322"/>
      <c r="AL108" s="324"/>
      <c r="AM108" s="322"/>
      <c r="AN108" s="281"/>
      <c r="AO108" s="325"/>
      <c r="AP108" s="326"/>
      <c r="AQ108" s="624"/>
      <c r="AR108" s="255"/>
      <c r="AS108" s="255"/>
      <c r="AT108" s="624"/>
      <c r="AU108" s="624"/>
      <c r="AV108" s="624"/>
    </row>
    <row r="109" spans="1:48" s="103" customFormat="1" ht="57.75" hidden="1" customHeight="1">
      <c r="A109" s="11"/>
      <c r="B109" s="11"/>
      <c r="C109" s="11"/>
      <c r="D109" s="255"/>
      <c r="E109" s="720" t="s">
        <v>207</v>
      </c>
      <c r="F109" s="720"/>
      <c r="G109" s="32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9"/>
      <c r="W109" s="329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483"/>
      <c r="AK109" s="11"/>
      <c r="AL109" s="281"/>
      <c r="AM109" s="11"/>
      <c r="AN109" s="281"/>
      <c r="AP109" s="326"/>
      <c r="AQ109" s="624"/>
      <c r="AR109" s="255"/>
      <c r="AS109" s="255"/>
      <c r="AT109" s="624"/>
      <c r="AU109" s="624"/>
      <c r="AV109" s="624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100:F100"/>
    <mergeCell ref="H107:J107"/>
    <mergeCell ref="U14:U16"/>
    <mergeCell ref="V14:W15"/>
    <mergeCell ref="O15:P15"/>
    <mergeCell ref="Q15:R15"/>
    <mergeCell ref="S15:T15"/>
    <mergeCell ref="E109:F10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81"/>
  <sheetViews>
    <sheetView view="pageBreakPreview" topLeftCell="C61" zoomScale="85" zoomScaleSheetLayoutView="85" workbookViewId="0">
      <selection activeCell="F16" sqref="F16:F17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style="94" customWidth="1"/>
    <col min="14" max="14" width="15" style="94" customWidth="1"/>
    <col min="15" max="15" width="11.7109375" style="94" customWidth="1"/>
    <col min="16" max="16" width="15.5703125" style="94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  <c r="N3" s="94"/>
      <c r="O3" s="94"/>
      <c r="P3" s="94"/>
    </row>
    <row r="4" spans="1:16" s="1" customFormat="1">
      <c r="E4" s="15"/>
      <c r="F4" s="2"/>
      <c r="G4" s="105"/>
      <c r="J4" s="30"/>
      <c r="M4" s="30" t="s">
        <v>21</v>
      </c>
      <c r="N4" s="94"/>
      <c r="O4" s="94"/>
      <c r="P4" s="94"/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  <c r="N5" s="94"/>
      <c r="O5" s="94"/>
      <c r="P5" s="94"/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  <c r="N6" s="94"/>
      <c r="O6" s="94"/>
      <c r="P6" s="94"/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  <c r="M7" s="94"/>
      <c r="N7" s="94"/>
      <c r="O7" s="94"/>
      <c r="P7" s="9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  <c r="M8" s="94"/>
      <c r="N8" s="94"/>
      <c r="O8" s="94"/>
      <c r="P8" s="9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94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  <c r="M10" s="94"/>
      <c r="N10" s="94"/>
      <c r="O10" s="94"/>
      <c r="P10" s="9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67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158"/>
      <c r="N14" s="158"/>
      <c r="O14" s="158"/>
      <c r="P14" s="94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94"/>
      <c r="P15" s="94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53">
        <v>2</v>
      </c>
      <c r="F18" s="152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167">
        <v>169.84</v>
      </c>
      <c r="K19" s="70"/>
      <c r="L19" s="167"/>
      <c r="M19" s="70"/>
      <c r="N19" s="167"/>
      <c r="O19" s="70">
        <f t="shared" ref="O19:P34" si="0">I19+K19-M19</f>
        <v>6</v>
      </c>
      <c r="P19" s="167">
        <f t="shared" si="0"/>
        <v>169.84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53" t="s">
        <v>31</v>
      </c>
      <c r="G20" s="54">
        <v>42347</v>
      </c>
      <c r="H20" s="55">
        <v>833</v>
      </c>
      <c r="I20" s="56">
        <v>1</v>
      </c>
      <c r="J20" s="168">
        <v>1026.1600000000001</v>
      </c>
      <c r="K20" s="56"/>
      <c r="L20" s="168"/>
      <c r="M20" s="56"/>
      <c r="N20" s="168"/>
      <c r="O20" s="56">
        <f t="shared" si="0"/>
        <v>1</v>
      </c>
      <c r="P20" s="168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82" t="s">
        <v>31</v>
      </c>
      <c r="G21" s="83">
        <v>42647</v>
      </c>
      <c r="H21" s="84">
        <v>1034</v>
      </c>
      <c r="I21" s="85">
        <v>1</v>
      </c>
      <c r="J21" s="169">
        <v>1026.1600000000001</v>
      </c>
      <c r="K21" s="85"/>
      <c r="L21" s="169"/>
      <c r="M21" s="85"/>
      <c r="N21" s="169"/>
      <c r="O21" s="85">
        <f t="shared" si="0"/>
        <v>1</v>
      </c>
      <c r="P21" s="169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53" t="s">
        <v>29</v>
      </c>
      <c r="G22" s="54">
        <v>42347</v>
      </c>
      <c r="H22" s="55">
        <v>833</v>
      </c>
      <c r="I22" s="56">
        <v>1</v>
      </c>
      <c r="J22" s="168">
        <v>2094.4</v>
      </c>
      <c r="K22" s="56"/>
      <c r="L22" s="168"/>
      <c r="M22" s="56"/>
      <c r="N22" s="168"/>
      <c r="O22" s="56">
        <f t="shared" si="0"/>
        <v>1</v>
      </c>
      <c r="P22" s="168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82" t="s">
        <v>29</v>
      </c>
      <c r="G23" s="83">
        <v>42647</v>
      </c>
      <c r="H23" s="84">
        <v>1034</v>
      </c>
      <c r="I23" s="85">
        <v>1</v>
      </c>
      <c r="J23" s="169">
        <v>2094.4</v>
      </c>
      <c r="K23" s="85"/>
      <c r="L23" s="169"/>
      <c r="M23" s="85"/>
      <c r="N23" s="169"/>
      <c r="O23" s="85">
        <f t="shared" si="0"/>
        <v>1</v>
      </c>
      <c r="P23" s="169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53" t="s">
        <v>32</v>
      </c>
      <c r="G24" s="54">
        <v>42347</v>
      </c>
      <c r="H24" s="55">
        <v>833</v>
      </c>
      <c r="I24" s="56">
        <v>6</v>
      </c>
      <c r="J24" s="168">
        <v>4721.3999999999996</v>
      </c>
      <c r="K24" s="56"/>
      <c r="L24" s="168"/>
      <c r="M24" s="56"/>
      <c r="N24" s="168"/>
      <c r="O24" s="56">
        <f t="shared" si="0"/>
        <v>6</v>
      </c>
      <c r="P24" s="168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13" t="s">
        <v>40</v>
      </c>
      <c r="G25" s="114">
        <v>42976</v>
      </c>
      <c r="H25" s="115">
        <v>977</v>
      </c>
      <c r="I25" s="35">
        <v>4</v>
      </c>
      <c r="J25" s="170">
        <v>8081.6</v>
      </c>
      <c r="K25" s="35"/>
      <c r="L25" s="170"/>
      <c r="M25" s="35"/>
      <c r="N25" s="170"/>
      <c r="O25" s="35">
        <f t="shared" si="0"/>
        <v>4</v>
      </c>
      <c r="P25" s="170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51" t="s">
        <v>41</v>
      </c>
      <c r="G26" s="114">
        <v>43046</v>
      </c>
      <c r="H26" s="115">
        <v>1379</v>
      </c>
      <c r="I26" s="35">
        <v>180</v>
      </c>
      <c r="J26" s="170">
        <v>25070.400000000001</v>
      </c>
      <c r="K26" s="35"/>
      <c r="L26" s="170"/>
      <c r="M26" s="35"/>
      <c r="N26" s="170"/>
      <c r="O26" s="35">
        <f t="shared" si="0"/>
        <v>180</v>
      </c>
      <c r="P26" s="170">
        <f t="shared" si="0"/>
        <v>25070.400000000001</v>
      </c>
      <c r="Q26" s="61"/>
      <c r="R26" s="61"/>
    </row>
    <row r="27" spans="1:18" s="62" customFormat="1" ht="31.5">
      <c r="A27" s="59"/>
      <c r="B27" s="60"/>
      <c r="C27" s="60"/>
      <c r="D27" s="79" t="s">
        <v>24</v>
      </c>
      <c r="E27" s="75">
        <v>2301400</v>
      </c>
      <c r="F27" s="51" t="s">
        <v>53</v>
      </c>
      <c r="G27" s="114">
        <v>43046</v>
      </c>
      <c r="H27" s="115">
        <v>1379</v>
      </c>
      <c r="I27" s="35">
        <v>180</v>
      </c>
      <c r="J27" s="170">
        <v>94469.4</v>
      </c>
      <c r="K27" s="35"/>
      <c r="L27" s="170"/>
      <c r="M27" s="35"/>
      <c r="N27" s="170"/>
      <c r="O27" s="35">
        <f t="shared" si="0"/>
        <v>180</v>
      </c>
      <c r="P27" s="170">
        <f t="shared" si="0"/>
        <v>94469.4</v>
      </c>
      <c r="Q27" s="61"/>
      <c r="R27" s="61"/>
    </row>
    <row r="28" spans="1:18" s="62" customFormat="1" ht="26.25" customHeight="1">
      <c r="A28" s="59"/>
      <c r="B28" s="60"/>
      <c r="C28" s="60"/>
      <c r="D28" s="79" t="s">
        <v>24</v>
      </c>
      <c r="E28" s="75">
        <v>2301400</v>
      </c>
      <c r="F28" s="149" t="s">
        <v>44</v>
      </c>
      <c r="G28" s="114">
        <v>43066</v>
      </c>
      <c r="H28" s="115">
        <v>1476</v>
      </c>
      <c r="I28" s="35">
        <v>5</v>
      </c>
      <c r="J28" s="170">
        <v>1010.9</v>
      </c>
      <c r="K28" s="35"/>
      <c r="L28" s="170"/>
      <c r="M28" s="35"/>
      <c r="N28" s="170"/>
      <c r="O28" s="156">
        <f t="shared" si="0"/>
        <v>5</v>
      </c>
      <c r="P28" s="170">
        <f t="shared" si="0"/>
        <v>1010.9</v>
      </c>
      <c r="Q28" s="61"/>
      <c r="R28" s="61"/>
    </row>
    <row r="29" spans="1:18" s="62" customFormat="1" ht="26.25" customHeight="1">
      <c r="A29" s="59"/>
      <c r="B29" s="60"/>
      <c r="C29" s="60"/>
      <c r="D29" s="79" t="s">
        <v>24</v>
      </c>
      <c r="E29" s="75">
        <v>2301400</v>
      </c>
      <c r="F29" s="149" t="s">
        <v>44</v>
      </c>
      <c r="G29" s="114">
        <v>43061</v>
      </c>
      <c r="H29" s="115" t="s">
        <v>59</v>
      </c>
      <c r="I29" s="35">
        <v>205</v>
      </c>
      <c r="J29" s="170">
        <v>41446.9</v>
      </c>
      <c r="K29" s="35"/>
      <c r="L29" s="170"/>
      <c r="M29" s="35"/>
      <c r="N29" s="170"/>
      <c r="O29" s="156">
        <f t="shared" si="0"/>
        <v>205</v>
      </c>
      <c r="P29" s="170">
        <f t="shared" si="0"/>
        <v>41446.9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155" t="s">
        <v>55</v>
      </c>
      <c r="G30" s="114">
        <v>43046</v>
      </c>
      <c r="H30" s="115">
        <v>1379</v>
      </c>
      <c r="I30" s="35">
        <v>44</v>
      </c>
      <c r="J30" s="170">
        <v>13134</v>
      </c>
      <c r="K30" s="35"/>
      <c r="L30" s="170"/>
      <c r="M30" s="156">
        <v>30</v>
      </c>
      <c r="N30" s="172">
        <v>8955</v>
      </c>
      <c r="O30" s="156">
        <f t="shared" si="0"/>
        <v>14</v>
      </c>
      <c r="P30" s="172">
        <f t="shared" si="0"/>
        <v>4179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155" t="s">
        <v>55</v>
      </c>
      <c r="G31" s="114">
        <v>43066</v>
      </c>
      <c r="H31" s="115">
        <v>1476</v>
      </c>
      <c r="I31" s="35">
        <v>6</v>
      </c>
      <c r="J31" s="170">
        <v>1791</v>
      </c>
      <c r="K31" s="35"/>
      <c r="L31" s="170"/>
      <c r="M31" s="35"/>
      <c r="N31" s="170"/>
      <c r="O31" s="156">
        <f t="shared" si="0"/>
        <v>6</v>
      </c>
      <c r="P31" s="170">
        <f t="shared" si="0"/>
        <v>1791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155" t="s">
        <v>55</v>
      </c>
      <c r="G32" s="114">
        <v>43061</v>
      </c>
      <c r="H32" s="115" t="s">
        <v>59</v>
      </c>
      <c r="I32" s="35">
        <v>36</v>
      </c>
      <c r="J32" s="170">
        <v>10746</v>
      </c>
      <c r="K32" s="35"/>
      <c r="L32" s="170"/>
      <c r="M32" s="35"/>
      <c r="N32" s="170"/>
      <c r="O32" s="156">
        <f t="shared" si="0"/>
        <v>36</v>
      </c>
      <c r="P32" s="170">
        <f t="shared" si="0"/>
        <v>10746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155" t="s">
        <v>55</v>
      </c>
      <c r="G33" s="114">
        <v>43061</v>
      </c>
      <c r="H33" s="115" t="s">
        <v>59</v>
      </c>
      <c r="I33" s="35">
        <v>86</v>
      </c>
      <c r="J33" s="170">
        <v>25671</v>
      </c>
      <c r="K33" s="35"/>
      <c r="L33" s="170"/>
      <c r="M33" s="35"/>
      <c r="N33" s="170"/>
      <c r="O33" s="156">
        <f t="shared" si="0"/>
        <v>86</v>
      </c>
      <c r="P33" s="170">
        <f t="shared" si="0"/>
        <v>25671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73" t="s">
        <v>56</v>
      </c>
      <c r="G34" s="114">
        <v>43046</v>
      </c>
      <c r="H34" s="115">
        <v>1379</v>
      </c>
      <c r="I34" s="35">
        <v>18</v>
      </c>
      <c r="J34" s="170">
        <v>5398.2</v>
      </c>
      <c r="K34" s="35"/>
      <c r="L34" s="170"/>
      <c r="M34" s="35"/>
      <c r="N34" s="170"/>
      <c r="O34" s="156">
        <f t="shared" si="0"/>
        <v>18</v>
      </c>
      <c r="P34" s="170">
        <f t="shared" si="0"/>
        <v>5398.2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73" t="s">
        <v>56</v>
      </c>
      <c r="G35" s="114">
        <v>43066</v>
      </c>
      <c r="H35" s="115">
        <v>1476</v>
      </c>
      <c r="I35" s="35">
        <v>162</v>
      </c>
      <c r="J35" s="170">
        <v>48583.8</v>
      </c>
      <c r="K35" s="35"/>
      <c r="L35" s="170"/>
      <c r="M35" s="35"/>
      <c r="N35" s="170"/>
      <c r="O35" s="156">
        <f t="shared" ref="O35:P42" si="1">I35+K35-M35</f>
        <v>162</v>
      </c>
      <c r="P35" s="170">
        <f t="shared" si="1"/>
        <v>48583.8</v>
      </c>
      <c r="Q35" s="61"/>
      <c r="R35" s="61"/>
    </row>
    <row r="36" spans="1:18" s="62" customFormat="1" ht="24" customHeight="1">
      <c r="A36" s="59"/>
      <c r="B36" s="60"/>
      <c r="C36" s="60"/>
      <c r="D36" s="79" t="s">
        <v>24</v>
      </c>
      <c r="E36" s="75">
        <v>2301400</v>
      </c>
      <c r="F36" s="51" t="s">
        <v>43</v>
      </c>
      <c r="G36" s="114">
        <v>43047</v>
      </c>
      <c r="H36" s="115">
        <v>1381</v>
      </c>
      <c r="I36" s="35">
        <v>40</v>
      </c>
      <c r="J36" s="170">
        <v>21408.799999999999</v>
      </c>
      <c r="K36" s="35"/>
      <c r="L36" s="170"/>
      <c r="M36" s="35">
        <v>40</v>
      </c>
      <c r="N36" s="170">
        <v>21408.799999999999</v>
      </c>
      <c r="O36" s="35">
        <f t="shared" si="1"/>
        <v>0</v>
      </c>
      <c r="P36" s="170">
        <f t="shared" si="1"/>
        <v>0</v>
      </c>
      <c r="Q36" s="61"/>
      <c r="R36" s="61"/>
    </row>
    <row r="37" spans="1:18" s="62" customFormat="1" ht="24" customHeight="1">
      <c r="A37" s="59"/>
      <c r="B37" s="60"/>
      <c r="C37" s="60"/>
      <c r="D37" s="79" t="s">
        <v>24</v>
      </c>
      <c r="E37" s="75">
        <v>2301400</v>
      </c>
      <c r="F37" s="162" t="s">
        <v>43</v>
      </c>
      <c r="G37" s="114">
        <v>43040</v>
      </c>
      <c r="H37" s="115">
        <v>1353</v>
      </c>
      <c r="I37" s="35">
        <v>210</v>
      </c>
      <c r="J37" s="170">
        <v>112396.2</v>
      </c>
      <c r="K37" s="35"/>
      <c r="L37" s="170"/>
      <c r="M37" s="156">
        <f>55+20</f>
        <v>75</v>
      </c>
      <c r="N37" s="172">
        <f>29437.1+10704.4</f>
        <v>40141.5</v>
      </c>
      <c r="O37" s="156">
        <f t="shared" si="1"/>
        <v>135</v>
      </c>
      <c r="P37" s="172">
        <f t="shared" si="1"/>
        <v>72254.7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161" t="s">
        <v>48</v>
      </c>
      <c r="G38" s="114">
        <v>43052</v>
      </c>
      <c r="H38" s="115">
        <v>1405</v>
      </c>
      <c r="I38" s="35">
        <v>120</v>
      </c>
      <c r="J38" s="170">
        <v>58734</v>
      </c>
      <c r="K38" s="35"/>
      <c r="L38" s="170"/>
      <c r="M38" s="156">
        <f>15+30</f>
        <v>45</v>
      </c>
      <c r="N38" s="172">
        <f>7341.75+14683.5</f>
        <v>22025.25</v>
      </c>
      <c r="O38" s="156">
        <f t="shared" si="1"/>
        <v>75</v>
      </c>
      <c r="P38" s="172">
        <f t="shared" si="1"/>
        <v>36708.75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51" t="s">
        <v>48</v>
      </c>
      <c r="G39" s="114">
        <v>43066</v>
      </c>
      <c r="H39" s="115">
        <v>1476</v>
      </c>
      <c r="I39" s="35">
        <v>30</v>
      </c>
      <c r="J39" s="170">
        <v>14683.5</v>
      </c>
      <c r="K39" s="35"/>
      <c r="L39" s="170"/>
      <c r="M39" s="35">
        <v>30</v>
      </c>
      <c r="N39" s="170">
        <v>14683.5</v>
      </c>
      <c r="O39" s="35">
        <f t="shared" si="1"/>
        <v>0</v>
      </c>
      <c r="P39" s="170">
        <f t="shared" si="1"/>
        <v>0</v>
      </c>
      <c r="Q39" s="77">
        <f>K39+M39-O39</f>
        <v>30</v>
      </c>
      <c r="R39" s="61"/>
    </row>
    <row r="40" spans="1:18" s="62" customFormat="1" ht="24" customHeight="1">
      <c r="A40" s="59"/>
      <c r="B40" s="60"/>
      <c r="C40" s="60"/>
      <c r="D40" s="79" t="s">
        <v>24</v>
      </c>
      <c r="E40" s="75">
        <v>2301400</v>
      </c>
      <c r="F40" s="161" t="s">
        <v>48</v>
      </c>
      <c r="G40" s="114">
        <v>43182</v>
      </c>
      <c r="H40" s="115">
        <v>546</v>
      </c>
      <c r="I40" s="35">
        <v>0</v>
      </c>
      <c r="J40" s="170">
        <v>0</v>
      </c>
      <c r="K40" s="35">
        <v>65</v>
      </c>
      <c r="L40" s="170">
        <v>31814.25</v>
      </c>
      <c r="M40" s="35">
        <v>0</v>
      </c>
      <c r="N40" s="170">
        <v>0</v>
      </c>
      <c r="O40" s="156">
        <f t="shared" si="1"/>
        <v>65</v>
      </c>
      <c r="P40" s="170">
        <f t="shared" si="1"/>
        <v>31814.25</v>
      </c>
      <c r="Q40" s="61"/>
      <c r="R40" s="61"/>
    </row>
    <row r="41" spans="1:18" s="134" customFormat="1" ht="27" customHeight="1">
      <c r="A41" s="131"/>
      <c r="B41" s="132"/>
      <c r="C41" s="60"/>
      <c r="D41" s="79" t="s">
        <v>24</v>
      </c>
      <c r="E41" s="75">
        <v>2301400</v>
      </c>
      <c r="F41" s="149" t="s">
        <v>44</v>
      </c>
      <c r="G41" s="114">
        <v>43082</v>
      </c>
      <c r="H41" s="115">
        <v>1583</v>
      </c>
      <c r="I41" s="22">
        <v>0</v>
      </c>
      <c r="J41" s="170">
        <v>0</v>
      </c>
      <c r="K41" s="35">
        <v>50</v>
      </c>
      <c r="L41" s="170">
        <v>10109</v>
      </c>
      <c r="M41" s="35">
        <v>0</v>
      </c>
      <c r="N41" s="170">
        <v>0</v>
      </c>
      <c r="O41" s="156">
        <f t="shared" si="1"/>
        <v>50</v>
      </c>
      <c r="P41" s="170">
        <f t="shared" si="1"/>
        <v>10109</v>
      </c>
      <c r="Q41" s="133"/>
      <c r="R41" s="133"/>
    </row>
    <row r="42" spans="1:18" s="139" customFormat="1" ht="27" customHeight="1">
      <c r="A42" s="136"/>
      <c r="B42" s="137"/>
      <c r="C42" s="60"/>
      <c r="D42" s="79" t="s">
        <v>24</v>
      </c>
      <c r="E42" s="75">
        <v>2301400</v>
      </c>
      <c r="F42" s="149" t="s">
        <v>54</v>
      </c>
      <c r="G42" s="114">
        <v>43096</v>
      </c>
      <c r="H42" s="115">
        <v>1745</v>
      </c>
      <c r="I42" s="22">
        <v>0</v>
      </c>
      <c r="J42" s="170">
        <v>0</v>
      </c>
      <c r="K42" s="35">
        <v>45</v>
      </c>
      <c r="L42" s="170">
        <v>9098.1</v>
      </c>
      <c r="M42" s="35">
        <v>0</v>
      </c>
      <c r="N42" s="170">
        <v>0</v>
      </c>
      <c r="O42" s="156">
        <f t="shared" si="1"/>
        <v>45</v>
      </c>
      <c r="P42" s="170">
        <f t="shared" si="1"/>
        <v>9098.1</v>
      </c>
      <c r="Q42" s="138"/>
      <c r="R42" s="138"/>
    </row>
    <row r="43" spans="1:18" s="62" customFormat="1" ht="26.25" customHeight="1">
      <c r="A43" s="59"/>
      <c r="B43" s="60"/>
      <c r="C43" s="60"/>
      <c r="D43" s="79" t="s">
        <v>24</v>
      </c>
      <c r="E43" s="75">
        <v>2301400</v>
      </c>
      <c r="F43" s="149" t="s">
        <v>44</v>
      </c>
      <c r="G43" s="114">
        <v>43164</v>
      </c>
      <c r="H43" s="115">
        <v>426</v>
      </c>
      <c r="I43" s="22">
        <v>0</v>
      </c>
      <c r="J43" s="170">
        <v>0</v>
      </c>
      <c r="K43" s="35">
        <v>50</v>
      </c>
      <c r="L43" s="170">
        <v>10109</v>
      </c>
      <c r="M43" s="35">
        <v>0</v>
      </c>
      <c r="N43" s="170">
        <v>0</v>
      </c>
      <c r="O43" s="156">
        <f t="shared" ref="O43:P46" si="2">I43+K43-M43</f>
        <v>50</v>
      </c>
      <c r="P43" s="170">
        <f t="shared" si="2"/>
        <v>10109</v>
      </c>
      <c r="Q43" s="61"/>
      <c r="R43" s="61"/>
    </row>
    <row r="44" spans="1:18" s="62" customFormat="1" ht="26.25" customHeight="1">
      <c r="A44" s="59"/>
      <c r="B44" s="60"/>
      <c r="C44" s="60"/>
      <c r="D44" s="79" t="s">
        <v>24</v>
      </c>
      <c r="E44" s="75">
        <v>2301400</v>
      </c>
      <c r="F44" s="149" t="s">
        <v>44</v>
      </c>
      <c r="G44" s="114">
        <v>43145</v>
      </c>
      <c r="H44" s="115">
        <v>260</v>
      </c>
      <c r="I44" s="22">
        <v>0</v>
      </c>
      <c r="J44" s="170">
        <v>0</v>
      </c>
      <c r="K44" s="35">
        <v>110</v>
      </c>
      <c r="L44" s="170">
        <v>22239.8</v>
      </c>
      <c r="M44" s="35">
        <v>0</v>
      </c>
      <c r="N44" s="170">
        <v>0</v>
      </c>
      <c r="O44" s="156">
        <f t="shared" si="2"/>
        <v>110</v>
      </c>
      <c r="P44" s="170">
        <f t="shared" si="2"/>
        <v>22239.8</v>
      </c>
      <c r="Q44" s="61"/>
      <c r="R44" s="61"/>
    </row>
    <row r="45" spans="1:18" s="62" customFormat="1" ht="26.25" customHeight="1">
      <c r="A45" s="59"/>
      <c r="B45" s="60"/>
      <c r="C45" s="60"/>
      <c r="D45" s="79" t="s">
        <v>24</v>
      </c>
      <c r="E45" s="75">
        <v>2301400</v>
      </c>
      <c r="F45" s="149" t="s">
        <v>44</v>
      </c>
      <c r="G45" s="114">
        <v>43182</v>
      </c>
      <c r="H45" s="115">
        <v>546</v>
      </c>
      <c r="I45" s="22">
        <v>0</v>
      </c>
      <c r="J45" s="170">
        <v>0</v>
      </c>
      <c r="K45" s="35">
        <v>105</v>
      </c>
      <c r="L45" s="170">
        <v>21228.9</v>
      </c>
      <c r="M45" s="35">
        <v>0</v>
      </c>
      <c r="N45" s="170">
        <v>0</v>
      </c>
      <c r="O45" s="156">
        <f t="shared" si="2"/>
        <v>105</v>
      </c>
      <c r="P45" s="170">
        <f t="shared" si="2"/>
        <v>21228.9</v>
      </c>
      <c r="Q45" s="61"/>
      <c r="R45" s="61"/>
    </row>
    <row r="46" spans="1:18" s="62" customFormat="1" ht="26.25" customHeight="1">
      <c r="A46" s="59"/>
      <c r="B46" s="60"/>
      <c r="C46" s="60"/>
      <c r="D46" s="79" t="s">
        <v>24</v>
      </c>
      <c r="E46" s="75">
        <v>2301400</v>
      </c>
      <c r="F46" s="149" t="s">
        <v>44</v>
      </c>
      <c r="G46" s="114">
        <v>43201</v>
      </c>
      <c r="H46" s="115">
        <v>659</v>
      </c>
      <c r="I46" s="22">
        <v>0</v>
      </c>
      <c r="J46" s="170">
        <v>0</v>
      </c>
      <c r="K46" s="35">
        <v>80</v>
      </c>
      <c r="L46" s="170">
        <v>16174.4</v>
      </c>
      <c r="M46" s="35">
        <v>0</v>
      </c>
      <c r="N46" s="170">
        <v>0</v>
      </c>
      <c r="O46" s="156">
        <f t="shared" si="2"/>
        <v>80</v>
      </c>
      <c r="P46" s="170">
        <f t="shared" si="2"/>
        <v>16174.4</v>
      </c>
      <c r="Q46" s="61"/>
      <c r="R46" s="61"/>
    </row>
    <row r="47" spans="1:18" s="134" customFormat="1" ht="27" customHeight="1">
      <c r="A47" s="131"/>
      <c r="B47" s="132"/>
      <c r="C47" s="60"/>
      <c r="D47" s="79" t="s">
        <v>24</v>
      </c>
      <c r="E47" s="75">
        <v>2301400</v>
      </c>
      <c r="F47" s="53" t="s">
        <v>52</v>
      </c>
      <c r="G47" s="114">
        <v>43087</v>
      </c>
      <c r="H47" s="115">
        <v>1625</v>
      </c>
      <c r="I47" s="22">
        <v>0</v>
      </c>
      <c r="J47" s="170">
        <v>0</v>
      </c>
      <c r="K47" s="35">
        <v>5</v>
      </c>
      <c r="L47" s="170">
        <v>1010.9</v>
      </c>
      <c r="M47" s="35">
        <v>0</v>
      </c>
      <c r="N47" s="170">
        <v>0</v>
      </c>
      <c r="O47" s="156">
        <f t="shared" ref="O47:P54" si="3">I47+K47-M47</f>
        <v>5</v>
      </c>
      <c r="P47" s="170">
        <f t="shared" si="3"/>
        <v>1010.9</v>
      </c>
      <c r="Q47" s="133"/>
      <c r="R47" s="133"/>
    </row>
    <row r="48" spans="1:18" s="134" customFormat="1" ht="27" customHeight="1">
      <c r="A48" s="131"/>
      <c r="B48" s="132"/>
      <c r="C48" s="60"/>
      <c r="D48" s="79" t="s">
        <v>24</v>
      </c>
      <c r="E48" s="75">
        <v>2301400</v>
      </c>
      <c r="F48" s="53" t="s">
        <v>52</v>
      </c>
      <c r="G48" s="114">
        <v>43082</v>
      </c>
      <c r="H48" s="115">
        <v>1583</v>
      </c>
      <c r="I48" s="22">
        <v>0</v>
      </c>
      <c r="J48" s="170">
        <v>0</v>
      </c>
      <c r="K48" s="35">
        <v>490</v>
      </c>
      <c r="L48" s="170">
        <v>99068.2</v>
      </c>
      <c r="M48" s="35">
        <v>0</v>
      </c>
      <c r="N48" s="170">
        <v>0</v>
      </c>
      <c r="O48" s="156">
        <f t="shared" si="3"/>
        <v>490</v>
      </c>
      <c r="P48" s="170">
        <f t="shared" si="3"/>
        <v>99068.2</v>
      </c>
      <c r="Q48" s="133"/>
      <c r="R48" s="133"/>
    </row>
    <row r="49" spans="1:18" s="139" customFormat="1" ht="27" customHeight="1">
      <c r="A49" s="136"/>
      <c r="B49" s="137"/>
      <c r="C49" s="60"/>
      <c r="D49" s="79" t="s">
        <v>24</v>
      </c>
      <c r="E49" s="75">
        <v>2301400</v>
      </c>
      <c r="F49" s="53" t="s">
        <v>52</v>
      </c>
      <c r="G49" s="114">
        <v>43096</v>
      </c>
      <c r="H49" s="115">
        <v>1745</v>
      </c>
      <c r="I49" s="22">
        <v>0</v>
      </c>
      <c r="J49" s="170">
        <v>0</v>
      </c>
      <c r="K49" s="35">
        <v>195</v>
      </c>
      <c r="L49" s="170">
        <v>39425.1</v>
      </c>
      <c r="M49" s="35">
        <v>0</v>
      </c>
      <c r="N49" s="170">
        <v>0</v>
      </c>
      <c r="O49" s="156">
        <f t="shared" si="3"/>
        <v>195</v>
      </c>
      <c r="P49" s="170">
        <f t="shared" si="3"/>
        <v>39425.1</v>
      </c>
      <c r="Q49" s="138"/>
      <c r="R49" s="138"/>
    </row>
    <row r="50" spans="1:18" s="62" customFormat="1" ht="26.25" customHeight="1">
      <c r="A50" s="59"/>
      <c r="B50" s="60"/>
      <c r="C50" s="60"/>
      <c r="D50" s="79" t="s">
        <v>24</v>
      </c>
      <c r="E50" s="75">
        <v>2301400</v>
      </c>
      <c r="F50" s="53" t="s">
        <v>65</v>
      </c>
      <c r="G50" s="114">
        <v>43164</v>
      </c>
      <c r="H50" s="115">
        <v>426</v>
      </c>
      <c r="I50" s="22">
        <v>0</v>
      </c>
      <c r="J50" s="170">
        <v>0</v>
      </c>
      <c r="K50" s="35">
        <v>170</v>
      </c>
      <c r="L50" s="170">
        <v>34370.6</v>
      </c>
      <c r="M50" s="35">
        <v>0</v>
      </c>
      <c r="N50" s="170">
        <v>0</v>
      </c>
      <c r="O50" s="156">
        <f t="shared" si="3"/>
        <v>170</v>
      </c>
      <c r="P50" s="170">
        <f t="shared" si="3"/>
        <v>34370.6</v>
      </c>
      <c r="Q50" s="61"/>
      <c r="R50" s="61"/>
    </row>
    <row r="51" spans="1:18" s="62" customFormat="1" ht="26.25" customHeight="1">
      <c r="A51" s="59"/>
      <c r="B51" s="60"/>
      <c r="C51" s="60"/>
      <c r="D51" s="79" t="s">
        <v>24</v>
      </c>
      <c r="E51" s="75">
        <v>2301400</v>
      </c>
      <c r="F51" s="53" t="s">
        <v>65</v>
      </c>
      <c r="G51" s="114">
        <v>43143</v>
      </c>
      <c r="H51" s="115">
        <v>234</v>
      </c>
      <c r="I51" s="22">
        <v>0</v>
      </c>
      <c r="J51" s="170">
        <v>0</v>
      </c>
      <c r="K51" s="35">
        <v>320</v>
      </c>
      <c r="L51" s="170">
        <v>64697.599999999999</v>
      </c>
      <c r="M51" s="35">
        <v>0</v>
      </c>
      <c r="N51" s="170">
        <v>0</v>
      </c>
      <c r="O51" s="156">
        <f t="shared" si="3"/>
        <v>320</v>
      </c>
      <c r="P51" s="170">
        <f t="shared" si="3"/>
        <v>64697.599999999999</v>
      </c>
      <c r="Q51" s="61"/>
      <c r="R51" s="61"/>
    </row>
    <row r="52" spans="1:18" s="62" customFormat="1" ht="26.25" customHeight="1">
      <c r="A52" s="59"/>
      <c r="B52" s="60"/>
      <c r="C52" s="60"/>
      <c r="D52" s="79" t="s">
        <v>24</v>
      </c>
      <c r="E52" s="75">
        <v>2301400</v>
      </c>
      <c r="F52" s="53" t="s">
        <v>65</v>
      </c>
      <c r="G52" s="114">
        <v>43143</v>
      </c>
      <c r="H52" s="115">
        <v>234</v>
      </c>
      <c r="I52" s="22">
        <v>0</v>
      </c>
      <c r="J52" s="170">
        <v>0</v>
      </c>
      <c r="K52" s="35">
        <v>15</v>
      </c>
      <c r="L52" s="170">
        <v>3032.7</v>
      </c>
      <c r="M52" s="35">
        <v>0</v>
      </c>
      <c r="N52" s="170">
        <v>0</v>
      </c>
      <c r="O52" s="156">
        <f t="shared" si="3"/>
        <v>15</v>
      </c>
      <c r="P52" s="170">
        <f t="shared" si="3"/>
        <v>3032.7</v>
      </c>
      <c r="Q52" s="61"/>
      <c r="R52" s="61"/>
    </row>
    <row r="53" spans="1:18" s="62" customFormat="1" ht="27" customHeight="1">
      <c r="A53" s="59"/>
      <c r="B53" s="60"/>
      <c r="C53" s="60"/>
      <c r="D53" s="79" t="s">
        <v>24</v>
      </c>
      <c r="E53" s="75">
        <v>2301400</v>
      </c>
      <c r="F53" s="53" t="s">
        <v>65</v>
      </c>
      <c r="G53" s="114">
        <v>43159</v>
      </c>
      <c r="H53" s="115">
        <v>356</v>
      </c>
      <c r="I53" s="22">
        <v>0</v>
      </c>
      <c r="J53" s="170">
        <v>0</v>
      </c>
      <c r="K53" s="35">
        <v>170</v>
      </c>
      <c r="L53" s="170">
        <v>34370.6</v>
      </c>
      <c r="M53" s="35">
        <v>0</v>
      </c>
      <c r="N53" s="170">
        <v>0</v>
      </c>
      <c r="O53" s="156">
        <f t="shared" si="3"/>
        <v>170</v>
      </c>
      <c r="P53" s="170">
        <f t="shared" si="3"/>
        <v>34370.6</v>
      </c>
      <c r="Q53" s="61"/>
      <c r="R53" s="61"/>
    </row>
    <row r="54" spans="1:18" s="62" customFormat="1" ht="27" customHeight="1">
      <c r="A54" s="59"/>
      <c r="B54" s="60"/>
      <c r="C54" s="60"/>
      <c r="D54" s="79" t="s">
        <v>24</v>
      </c>
      <c r="E54" s="75">
        <v>2301400</v>
      </c>
      <c r="F54" s="53" t="s">
        <v>65</v>
      </c>
      <c r="G54" s="114">
        <v>43145</v>
      </c>
      <c r="H54" s="115">
        <v>260</v>
      </c>
      <c r="I54" s="22">
        <v>0</v>
      </c>
      <c r="J54" s="170">
        <v>0</v>
      </c>
      <c r="K54" s="35">
        <v>665</v>
      </c>
      <c r="L54" s="170">
        <v>134449.70000000001</v>
      </c>
      <c r="M54" s="35">
        <v>0</v>
      </c>
      <c r="N54" s="170">
        <v>0</v>
      </c>
      <c r="O54" s="156">
        <f t="shared" si="3"/>
        <v>665</v>
      </c>
      <c r="P54" s="170">
        <f t="shared" si="3"/>
        <v>134449.70000000001</v>
      </c>
      <c r="Q54" s="61"/>
      <c r="R54" s="61"/>
    </row>
    <row r="55" spans="1:18" s="62" customFormat="1" ht="26.25" customHeight="1">
      <c r="A55" s="59"/>
      <c r="B55" s="60"/>
      <c r="C55" s="60"/>
      <c r="D55" s="79" t="s">
        <v>24</v>
      </c>
      <c r="E55" s="75">
        <v>2301400</v>
      </c>
      <c r="F55" s="53" t="s">
        <v>65</v>
      </c>
      <c r="G55" s="114">
        <v>43116</v>
      </c>
      <c r="H55" s="115">
        <v>68</v>
      </c>
      <c r="I55" s="22">
        <v>0</v>
      </c>
      <c r="J55" s="170">
        <v>0</v>
      </c>
      <c r="K55" s="35">
        <v>335</v>
      </c>
      <c r="L55" s="170">
        <v>67730.3</v>
      </c>
      <c r="M55" s="35">
        <v>0</v>
      </c>
      <c r="N55" s="170">
        <v>0</v>
      </c>
      <c r="O55" s="156">
        <f t="shared" ref="O55:P61" si="4">I55+K55-M55</f>
        <v>335</v>
      </c>
      <c r="P55" s="170">
        <f t="shared" si="4"/>
        <v>67730.3</v>
      </c>
      <c r="Q55" s="61"/>
      <c r="R55" s="61"/>
    </row>
    <row r="56" spans="1:18" s="62" customFormat="1" ht="26.25" customHeight="1">
      <c r="A56" s="59"/>
      <c r="B56" s="60"/>
      <c r="C56" s="60"/>
      <c r="D56" s="79" t="s">
        <v>24</v>
      </c>
      <c r="E56" s="75">
        <v>2301400</v>
      </c>
      <c r="F56" s="53" t="s">
        <v>65</v>
      </c>
      <c r="G56" s="114">
        <v>42761</v>
      </c>
      <c r="H56" s="115">
        <v>135</v>
      </c>
      <c r="I56" s="22">
        <v>0</v>
      </c>
      <c r="J56" s="170">
        <v>0</v>
      </c>
      <c r="K56" s="35">
        <v>155</v>
      </c>
      <c r="L56" s="170">
        <v>31337.9</v>
      </c>
      <c r="M56" s="35">
        <v>0</v>
      </c>
      <c r="N56" s="170">
        <v>0</v>
      </c>
      <c r="O56" s="156">
        <f t="shared" si="4"/>
        <v>155</v>
      </c>
      <c r="P56" s="170">
        <f t="shared" si="4"/>
        <v>31337.9</v>
      </c>
      <c r="Q56" s="61"/>
      <c r="R56" s="61"/>
    </row>
    <row r="57" spans="1:18" s="62" customFormat="1" ht="26.25" customHeight="1">
      <c r="A57" s="59"/>
      <c r="B57" s="60"/>
      <c r="C57" s="60"/>
      <c r="D57" s="79" t="s">
        <v>24</v>
      </c>
      <c r="E57" s="75">
        <v>2301400</v>
      </c>
      <c r="F57" s="53" t="s">
        <v>65</v>
      </c>
      <c r="G57" s="114">
        <v>43119</v>
      </c>
      <c r="H57" s="115">
        <v>108</v>
      </c>
      <c r="I57" s="22">
        <v>0</v>
      </c>
      <c r="J57" s="170">
        <v>0</v>
      </c>
      <c r="K57" s="35">
        <v>340</v>
      </c>
      <c r="L57" s="170">
        <v>68741.2</v>
      </c>
      <c r="M57" s="35">
        <v>0</v>
      </c>
      <c r="N57" s="170">
        <v>0</v>
      </c>
      <c r="O57" s="156">
        <f t="shared" si="4"/>
        <v>340</v>
      </c>
      <c r="P57" s="170">
        <f t="shared" si="4"/>
        <v>68741.2</v>
      </c>
      <c r="Q57" s="61"/>
      <c r="R57" s="61"/>
    </row>
    <row r="58" spans="1:18" s="62" customFormat="1" ht="26.25" customHeight="1">
      <c r="A58" s="59"/>
      <c r="B58" s="60"/>
      <c r="C58" s="60"/>
      <c r="D58" s="79" t="s">
        <v>24</v>
      </c>
      <c r="E58" s="75">
        <v>2301400</v>
      </c>
      <c r="F58" s="53" t="s">
        <v>65</v>
      </c>
      <c r="G58" s="114">
        <v>43201</v>
      </c>
      <c r="H58" s="115">
        <v>659</v>
      </c>
      <c r="I58" s="22">
        <v>0</v>
      </c>
      <c r="J58" s="170">
        <v>0</v>
      </c>
      <c r="K58" s="35">
        <v>245</v>
      </c>
      <c r="L58" s="170">
        <v>49534.1</v>
      </c>
      <c r="M58" s="35">
        <v>0</v>
      </c>
      <c r="N58" s="170">
        <v>0</v>
      </c>
      <c r="O58" s="156">
        <f t="shared" si="4"/>
        <v>245</v>
      </c>
      <c r="P58" s="170">
        <f t="shared" si="4"/>
        <v>49534.1</v>
      </c>
      <c r="Q58" s="61"/>
      <c r="R58" s="61"/>
    </row>
    <row r="59" spans="1:18" s="62" customFormat="1" ht="26.25" customHeight="1">
      <c r="A59" s="59"/>
      <c r="B59" s="60"/>
      <c r="C59" s="60"/>
      <c r="D59" s="79" t="s">
        <v>24</v>
      </c>
      <c r="E59" s="75">
        <v>2301400</v>
      </c>
      <c r="F59" s="162" t="s">
        <v>68</v>
      </c>
      <c r="G59" s="114">
        <v>43052</v>
      </c>
      <c r="H59" s="115">
        <v>1405</v>
      </c>
      <c r="I59" s="22">
        <v>0</v>
      </c>
      <c r="J59" s="170">
        <v>0</v>
      </c>
      <c r="K59" s="35">
        <v>125</v>
      </c>
      <c r="L59" s="170">
        <v>26255</v>
      </c>
      <c r="M59" s="156">
        <f>63+62</f>
        <v>125</v>
      </c>
      <c r="N59" s="172">
        <v>26255</v>
      </c>
      <c r="O59" s="156">
        <f t="shared" si="4"/>
        <v>0</v>
      </c>
      <c r="P59" s="172">
        <f t="shared" si="4"/>
        <v>0</v>
      </c>
      <c r="Q59" s="61"/>
      <c r="R59" s="61"/>
    </row>
    <row r="60" spans="1:18" s="62" customFormat="1" ht="26.25" customHeight="1">
      <c r="A60" s="59"/>
      <c r="B60" s="60"/>
      <c r="C60" s="60"/>
      <c r="D60" s="79" t="s">
        <v>24</v>
      </c>
      <c r="E60" s="75">
        <v>2301400</v>
      </c>
      <c r="F60" s="162" t="s">
        <v>68</v>
      </c>
      <c r="G60" s="114">
        <v>43047</v>
      </c>
      <c r="H60" s="115">
        <v>1381</v>
      </c>
      <c r="I60" s="22">
        <v>0</v>
      </c>
      <c r="J60" s="170">
        <v>0</v>
      </c>
      <c r="K60" s="35">
        <v>80</v>
      </c>
      <c r="L60" s="170">
        <v>16803.2</v>
      </c>
      <c r="M60" s="35">
        <v>0</v>
      </c>
      <c r="N60" s="170">
        <v>0</v>
      </c>
      <c r="O60" s="156">
        <f t="shared" si="4"/>
        <v>80</v>
      </c>
      <c r="P60" s="170">
        <f t="shared" si="4"/>
        <v>16803.2</v>
      </c>
      <c r="Q60" s="61"/>
      <c r="R60" s="61"/>
    </row>
    <row r="61" spans="1:18" s="62" customFormat="1" ht="26.25" customHeight="1">
      <c r="A61" s="59"/>
      <c r="B61" s="60"/>
      <c r="C61" s="60"/>
      <c r="D61" s="79" t="s">
        <v>24</v>
      </c>
      <c r="E61" s="75">
        <v>2301400</v>
      </c>
      <c r="F61" s="162" t="s">
        <v>68</v>
      </c>
      <c r="G61" s="114">
        <v>43182</v>
      </c>
      <c r="H61" s="115">
        <v>546</v>
      </c>
      <c r="I61" s="22">
        <v>0</v>
      </c>
      <c r="J61" s="170">
        <v>0</v>
      </c>
      <c r="K61" s="35">
        <v>10</v>
      </c>
      <c r="L61" s="170">
        <v>2038.7</v>
      </c>
      <c r="M61" s="35">
        <v>0</v>
      </c>
      <c r="N61" s="170">
        <v>0</v>
      </c>
      <c r="O61" s="156">
        <f t="shared" si="4"/>
        <v>10</v>
      </c>
      <c r="P61" s="170">
        <f t="shared" si="4"/>
        <v>2038.7</v>
      </c>
      <c r="Q61" s="61"/>
      <c r="R61" s="61"/>
    </row>
    <row r="62" spans="1:18" s="134" customFormat="1" ht="25.5" customHeight="1">
      <c r="A62" s="131"/>
      <c r="B62" s="132"/>
      <c r="C62" s="60"/>
      <c r="D62" s="79" t="s">
        <v>24</v>
      </c>
      <c r="E62" s="75">
        <v>2301400</v>
      </c>
      <c r="F62" s="140" t="s">
        <v>55</v>
      </c>
      <c r="G62" s="114">
        <v>43082</v>
      </c>
      <c r="H62" s="115">
        <v>1583</v>
      </c>
      <c r="I62" s="22">
        <v>0</v>
      </c>
      <c r="J62" s="170">
        <v>0</v>
      </c>
      <c r="K62" s="35">
        <v>8</v>
      </c>
      <c r="L62" s="170">
        <v>2388</v>
      </c>
      <c r="M62" s="35">
        <v>0</v>
      </c>
      <c r="N62" s="170">
        <v>0</v>
      </c>
      <c r="O62" s="156">
        <f t="shared" ref="O62:O72" si="5">I62+K62-M62</f>
        <v>8</v>
      </c>
      <c r="P62" s="170">
        <f t="shared" ref="P62:P72" si="6">J62+L62-N62</f>
        <v>2388</v>
      </c>
      <c r="Q62" s="133"/>
      <c r="R62" s="133"/>
    </row>
    <row r="63" spans="1:18" s="62" customFormat="1" ht="25.5" customHeight="1">
      <c r="A63" s="59"/>
      <c r="B63" s="60"/>
      <c r="C63" s="60"/>
      <c r="D63" s="79" t="s">
        <v>24</v>
      </c>
      <c r="E63" s="75">
        <v>2301400</v>
      </c>
      <c r="F63" s="140" t="s">
        <v>55</v>
      </c>
      <c r="G63" s="114">
        <v>43164</v>
      </c>
      <c r="H63" s="115">
        <v>427</v>
      </c>
      <c r="I63" s="22">
        <v>0</v>
      </c>
      <c r="J63" s="170">
        <v>0</v>
      </c>
      <c r="K63" s="35">
        <v>34</v>
      </c>
      <c r="L63" s="170">
        <v>10149</v>
      </c>
      <c r="M63" s="35">
        <v>0</v>
      </c>
      <c r="N63" s="170">
        <v>0</v>
      </c>
      <c r="O63" s="156">
        <f t="shared" si="5"/>
        <v>34</v>
      </c>
      <c r="P63" s="170">
        <f t="shared" si="6"/>
        <v>10149</v>
      </c>
      <c r="Q63" s="61"/>
      <c r="R63" s="61"/>
    </row>
    <row r="64" spans="1:18" s="62" customFormat="1" ht="25.5" customHeight="1">
      <c r="A64" s="59"/>
      <c r="B64" s="60"/>
      <c r="C64" s="60"/>
      <c r="D64" s="79" t="s">
        <v>24</v>
      </c>
      <c r="E64" s="75">
        <v>2301400</v>
      </c>
      <c r="F64" s="140" t="s">
        <v>55</v>
      </c>
      <c r="G64" s="114">
        <v>43193</v>
      </c>
      <c r="H64" s="115">
        <v>613</v>
      </c>
      <c r="I64" s="22">
        <v>0</v>
      </c>
      <c r="J64" s="170">
        <v>0</v>
      </c>
      <c r="K64" s="35">
        <v>270</v>
      </c>
      <c r="L64" s="170">
        <v>80595</v>
      </c>
      <c r="M64" s="35">
        <v>0</v>
      </c>
      <c r="N64" s="170">
        <v>0</v>
      </c>
      <c r="O64" s="156">
        <f t="shared" si="5"/>
        <v>270</v>
      </c>
      <c r="P64" s="170">
        <f t="shared" si="6"/>
        <v>80595</v>
      </c>
      <c r="Q64" s="61"/>
      <c r="R64" s="61"/>
    </row>
    <row r="65" spans="1:18" s="62" customFormat="1" ht="25.5" customHeight="1">
      <c r="A65" s="59"/>
      <c r="B65" s="60"/>
      <c r="C65" s="60"/>
      <c r="D65" s="79" t="s">
        <v>24</v>
      </c>
      <c r="E65" s="75">
        <v>2301400</v>
      </c>
      <c r="F65" s="140" t="s">
        <v>55</v>
      </c>
      <c r="G65" s="114">
        <v>43193</v>
      </c>
      <c r="H65" s="115">
        <v>612</v>
      </c>
      <c r="I65" s="22">
        <v>0</v>
      </c>
      <c r="J65" s="170">
        <v>0</v>
      </c>
      <c r="K65" s="35">
        <v>40</v>
      </c>
      <c r="L65" s="170">
        <v>11940</v>
      </c>
      <c r="M65" s="35">
        <v>0</v>
      </c>
      <c r="N65" s="170">
        <v>0</v>
      </c>
      <c r="O65" s="156">
        <f t="shared" si="5"/>
        <v>40</v>
      </c>
      <c r="P65" s="170">
        <f t="shared" si="6"/>
        <v>11940</v>
      </c>
      <c r="Q65" s="61"/>
      <c r="R65" s="61"/>
    </row>
    <row r="66" spans="1:18" s="62" customFormat="1" ht="25.5" customHeight="1">
      <c r="A66" s="59"/>
      <c r="B66" s="60"/>
      <c r="C66" s="60"/>
      <c r="D66" s="79" t="s">
        <v>24</v>
      </c>
      <c r="E66" s="75">
        <v>2301400</v>
      </c>
      <c r="F66" s="173" t="s">
        <v>64</v>
      </c>
      <c r="G66" s="114">
        <v>43164</v>
      </c>
      <c r="H66" s="115">
        <v>427</v>
      </c>
      <c r="I66" s="22">
        <v>0</v>
      </c>
      <c r="J66" s="170">
        <v>0</v>
      </c>
      <c r="K66" s="35">
        <v>56</v>
      </c>
      <c r="L66" s="170">
        <v>16794.400000000001</v>
      </c>
      <c r="M66" s="35">
        <v>0</v>
      </c>
      <c r="N66" s="170">
        <v>0</v>
      </c>
      <c r="O66" s="156">
        <f t="shared" si="5"/>
        <v>56</v>
      </c>
      <c r="P66" s="170">
        <f t="shared" si="6"/>
        <v>16794.400000000001</v>
      </c>
      <c r="Q66" s="61"/>
      <c r="R66" s="61"/>
    </row>
    <row r="67" spans="1:18" s="62" customFormat="1" ht="25.5" customHeight="1">
      <c r="A67" s="59"/>
      <c r="B67" s="60"/>
      <c r="C67" s="60"/>
      <c r="D67" s="79" t="s">
        <v>24</v>
      </c>
      <c r="E67" s="75">
        <v>2301400</v>
      </c>
      <c r="F67" s="173" t="s">
        <v>64</v>
      </c>
      <c r="G67" s="114">
        <v>43193</v>
      </c>
      <c r="H67" s="115">
        <v>605</v>
      </c>
      <c r="I67" s="22">
        <v>0</v>
      </c>
      <c r="J67" s="170">
        <v>0</v>
      </c>
      <c r="K67" s="35">
        <v>510</v>
      </c>
      <c r="L67" s="170">
        <v>152949</v>
      </c>
      <c r="M67" s="35">
        <v>0</v>
      </c>
      <c r="N67" s="170">
        <v>0</v>
      </c>
      <c r="O67" s="156">
        <f t="shared" si="5"/>
        <v>510</v>
      </c>
      <c r="P67" s="170">
        <f t="shared" si="6"/>
        <v>152949</v>
      </c>
      <c r="Q67" s="61"/>
      <c r="R67" s="61"/>
    </row>
    <row r="68" spans="1:18" s="62" customFormat="1" ht="27.75" customHeight="1">
      <c r="A68" s="59"/>
      <c r="B68" s="60"/>
      <c r="C68" s="60"/>
      <c r="D68" s="79" t="s">
        <v>24</v>
      </c>
      <c r="E68" s="75">
        <v>2301400</v>
      </c>
      <c r="F68" s="51" t="s">
        <v>57</v>
      </c>
      <c r="G68" s="114">
        <v>43096</v>
      </c>
      <c r="H68" s="115">
        <v>1745</v>
      </c>
      <c r="I68" s="22">
        <v>0</v>
      </c>
      <c r="J68" s="170">
        <v>0</v>
      </c>
      <c r="K68" s="35">
        <v>6637</v>
      </c>
      <c r="L68" s="170">
        <v>102541.65</v>
      </c>
      <c r="M68" s="35">
        <v>0</v>
      </c>
      <c r="N68" s="170">
        <v>0</v>
      </c>
      <c r="O68" s="35">
        <f t="shared" si="5"/>
        <v>6637</v>
      </c>
      <c r="P68" s="170">
        <f t="shared" si="6"/>
        <v>102541.65</v>
      </c>
      <c r="Q68" s="61"/>
      <c r="R68" s="61"/>
    </row>
    <row r="69" spans="1:18" s="62" customFormat="1" ht="26.25" customHeight="1">
      <c r="A69" s="59"/>
      <c r="B69" s="60"/>
      <c r="C69" s="60"/>
      <c r="D69" s="79" t="s">
        <v>24</v>
      </c>
      <c r="E69" s="75">
        <v>2301400</v>
      </c>
      <c r="F69" s="51" t="s">
        <v>58</v>
      </c>
      <c r="G69" s="114">
        <v>43096</v>
      </c>
      <c r="H69" s="115">
        <v>1745</v>
      </c>
      <c r="I69" s="22">
        <v>0</v>
      </c>
      <c r="J69" s="170">
        <v>0</v>
      </c>
      <c r="K69" s="35">
        <v>4</v>
      </c>
      <c r="L69" s="170">
        <v>9062.24</v>
      </c>
      <c r="M69" s="35">
        <v>0</v>
      </c>
      <c r="N69" s="170">
        <v>0</v>
      </c>
      <c r="O69" s="35">
        <f t="shared" si="5"/>
        <v>4</v>
      </c>
      <c r="P69" s="170">
        <f t="shared" si="6"/>
        <v>9062.24</v>
      </c>
      <c r="Q69" s="61"/>
      <c r="R69" s="61"/>
    </row>
    <row r="70" spans="1:18" s="62" customFormat="1" ht="26.25" customHeight="1">
      <c r="A70" s="59"/>
      <c r="B70" s="60"/>
      <c r="C70" s="60"/>
      <c r="D70" s="79" t="s">
        <v>24</v>
      </c>
      <c r="E70" s="75">
        <v>2301400</v>
      </c>
      <c r="F70" s="51" t="s">
        <v>61</v>
      </c>
      <c r="G70" s="114">
        <v>42761</v>
      </c>
      <c r="H70" s="115">
        <v>135</v>
      </c>
      <c r="I70" s="22">
        <v>0</v>
      </c>
      <c r="J70" s="170">
        <v>0</v>
      </c>
      <c r="K70" s="35">
        <v>14</v>
      </c>
      <c r="L70" s="170">
        <v>774.48</v>
      </c>
      <c r="M70" s="35">
        <v>0</v>
      </c>
      <c r="N70" s="170">
        <v>0</v>
      </c>
      <c r="O70" s="35">
        <f t="shared" si="5"/>
        <v>14</v>
      </c>
      <c r="P70" s="170">
        <f t="shared" si="6"/>
        <v>774.48</v>
      </c>
      <c r="Q70" s="61"/>
      <c r="R70" s="61"/>
    </row>
    <row r="71" spans="1:18" s="62" customFormat="1" ht="26.25" customHeight="1">
      <c r="A71" s="59"/>
      <c r="B71" s="60"/>
      <c r="C71" s="60"/>
      <c r="D71" s="79" t="s">
        <v>24</v>
      </c>
      <c r="E71" s="75">
        <v>2301400</v>
      </c>
      <c r="F71" s="51" t="s">
        <v>62</v>
      </c>
      <c r="G71" s="114">
        <v>42761</v>
      </c>
      <c r="H71" s="115">
        <v>135</v>
      </c>
      <c r="I71" s="22">
        <v>0</v>
      </c>
      <c r="J71" s="170">
        <v>0</v>
      </c>
      <c r="K71" s="35">
        <v>6</v>
      </c>
      <c r="L71" s="170">
        <v>4549.08</v>
      </c>
      <c r="M71" s="35">
        <v>0</v>
      </c>
      <c r="N71" s="170">
        <v>0</v>
      </c>
      <c r="O71" s="35">
        <f t="shared" si="5"/>
        <v>6</v>
      </c>
      <c r="P71" s="170">
        <f t="shared" si="6"/>
        <v>4549.08</v>
      </c>
      <c r="Q71" s="61"/>
      <c r="R71" s="61"/>
    </row>
    <row r="72" spans="1:18" s="62" customFormat="1" ht="26.25" customHeight="1">
      <c r="A72" s="59"/>
      <c r="B72" s="60"/>
      <c r="C72" s="60"/>
      <c r="D72" s="79" t="s">
        <v>24</v>
      </c>
      <c r="E72" s="75">
        <v>2301400</v>
      </c>
      <c r="F72" s="51" t="s">
        <v>66</v>
      </c>
      <c r="G72" s="114">
        <v>43145</v>
      </c>
      <c r="H72" s="115">
        <v>260</v>
      </c>
      <c r="I72" s="22">
        <v>0</v>
      </c>
      <c r="J72" s="170">
        <v>0</v>
      </c>
      <c r="K72" s="35">
        <v>2</v>
      </c>
      <c r="L72" s="170">
        <v>4040.8</v>
      </c>
      <c r="M72" s="35">
        <v>0</v>
      </c>
      <c r="N72" s="170">
        <v>0</v>
      </c>
      <c r="O72" s="35">
        <f t="shared" si="5"/>
        <v>2</v>
      </c>
      <c r="P72" s="170">
        <f t="shared" si="6"/>
        <v>4040.8</v>
      </c>
      <c r="Q72" s="61"/>
      <c r="R72" s="61"/>
    </row>
    <row r="73" spans="1:18" s="10" customFormat="1" ht="21" customHeight="1">
      <c r="A73" s="20" t="s">
        <v>11</v>
      </c>
      <c r="B73" s="20"/>
      <c r="C73" s="20"/>
      <c r="D73" s="695" t="s">
        <v>34</v>
      </c>
      <c r="E73" s="696"/>
      <c r="F73" s="696"/>
      <c r="G73" s="696"/>
      <c r="H73" s="697"/>
      <c r="I73" s="48">
        <f>SUM(I19:I39)</f>
        <v>1342</v>
      </c>
      <c r="J73" s="171">
        <f>SUM(J19:J62)</f>
        <v>493758.06</v>
      </c>
      <c r="K73" s="48">
        <f>SUM(K25:K72)</f>
        <v>11406</v>
      </c>
      <c r="L73" s="171">
        <f>SUM(L19:L72)</f>
        <v>1189422.8999999999</v>
      </c>
      <c r="M73" s="48">
        <f>SUM(M19:M72)</f>
        <v>345</v>
      </c>
      <c r="N73" s="171">
        <f>SUM(N19:N72)</f>
        <v>133469.04999999999</v>
      </c>
      <c r="O73" s="174">
        <f>SUM(O19:O72)</f>
        <v>12403</v>
      </c>
      <c r="P73" s="175">
        <f>SUM(P19:P72)</f>
        <v>1549711.91</v>
      </c>
      <c r="Q73" s="26">
        <f>SUM(Q19:Q23)</f>
        <v>0</v>
      </c>
      <c r="R73" s="27"/>
    </row>
    <row r="74" spans="1:18">
      <c r="A74" s="19"/>
      <c r="B74" s="19"/>
      <c r="C74" s="19"/>
      <c r="I74" s="10"/>
      <c r="J74" s="10"/>
      <c r="K74" s="10"/>
      <c r="L74" s="10"/>
      <c r="M74" s="159"/>
      <c r="N74" s="159"/>
      <c r="O74" s="159"/>
      <c r="P74" s="159"/>
      <c r="Q74" s="10"/>
    </row>
    <row r="75" spans="1:18" ht="15.75">
      <c r="A75" s="28"/>
      <c r="B75" s="28"/>
      <c r="C75" s="28"/>
      <c r="D75" s="28"/>
      <c r="E75" s="28"/>
      <c r="F75" s="28"/>
      <c r="G75" s="108"/>
      <c r="H75" s="28"/>
      <c r="I75" s="11"/>
      <c r="J75" s="9"/>
      <c r="K75" s="11"/>
      <c r="L75" s="9"/>
      <c r="M75" s="9"/>
      <c r="N75" s="47"/>
      <c r="O75" s="47"/>
      <c r="P75" s="91"/>
    </row>
    <row r="76" spans="1:18" ht="18.75">
      <c r="A76" s="28"/>
      <c r="B76" s="28"/>
      <c r="C76" s="28"/>
      <c r="D76" s="28"/>
      <c r="E76" s="693" t="s">
        <v>25</v>
      </c>
      <c r="F76" s="693"/>
      <c r="G76" s="693"/>
      <c r="H76" s="693"/>
      <c r="I76" s="693"/>
      <c r="J76" s="693"/>
      <c r="K76" s="693"/>
      <c r="L76" s="693"/>
      <c r="M76" s="693"/>
      <c r="N76" s="693"/>
      <c r="O76" s="47"/>
      <c r="P76" s="12"/>
    </row>
    <row r="77" spans="1:18" ht="15" customHeight="1">
      <c r="A77" s="43"/>
      <c r="B77" s="43"/>
      <c r="C77" s="43"/>
      <c r="D77" s="43"/>
      <c r="E77" s="151"/>
      <c r="F77" s="154"/>
      <c r="G77" s="109"/>
      <c r="H77" s="32"/>
      <c r="I77" s="38"/>
      <c r="J77" s="32"/>
      <c r="K77" s="38"/>
      <c r="L77" s="32"/>
      <c r="M77" s="32"/>
      <c r="N77" s="39"/>
      <c r="O77" s="47"/>
      <c r="P77" s="12"/>
    </row>
    <row r="78" spans="1:18" ht="18" customHeight="1">
      <c r="A78" s="44" t="s">
        <v>12</v>
      </c>
      <c r="B78" s="44"/>
      <c r="C78" s="44"/>
      <c r="D78" s="44"/>
      <c r="E78" s="34"/>
      <c r="F78" s="40"/>
      <c r="G78" s="110"/>
      <c r="H78" s="40"/>
      <c r="I78" s="40"/>
      <c r="J78" s="40"/>
      <c r="K78" s="40"/>
      <c r="L78" s="40"/>
      <c r="M78" s="40"/>
      <c r="N78" s="40"/>
      <c r="O78" s="160"/>
      <c r="P78" s="13"/>
    </row>
    <row r="79" spans="1:18" ht="18.75">
      <c r="A79" s="9"/>
      <c r="B79" s="9"/>
      <c r="C79" s="9"/>
      <c r="D79" s="9"/>
      <c r="E79" s="694" t="s">
        <v>20</v>
      </c>
      <c r="F79" s="694"/>
      <c r="G79" s="694"/>
      <c r="H79" s="694"/>
      <c r="I79" s="694"/>
      <c r="J79" s="694"/>
      <c r="K79" s="694"/>
      <c r="L79" s="694"/>
      <c r="M79" s="694"/>
      <c r="N79" s="694"/>
      <c r="O79" s="9"/>
      <c r="P79" s="13"/>
    </row>
    <row r="80" spans="1:18" ht="15.75">
      <c r="A80" s="44"/>
      <c r="B80" s="44"/>
      <c r="C80" s="44"/>
      <c r="D80" s="44"/>
      <c r="E80" s="46" t="s">
        <v>26</v>
      </c>
      <c r="F80" s="44"/>
      <c r="G80" s="111"/>
      <c r="H80" s="45"/>
      <c r="I80" s="45"/>
      <c r="J80" s="45"/>
      <c r="K80" s="45"/>
      <c r="L80" s="45"/>
      <c r="M80" s="160"/>
      <c r="N80" s="160"/>
      <c r="O80" s="160"/>
    </row>
    <row r="81" spans="1:15" ht="36" customHeight="1">
      <c r="A81" s="9"/>
      <c r="B81" s="9"/>
      <c r="C81" s="9"/>
      <c r="D81" s="676" t="s">
        <v>38</v>
      </c>
      <c r="E81" s="676"/>
      <c r="F81" s="676"/>
      <c r="G81" s="112"/>
      <c r="H81" s="9"/>
      <c r="I81" s="11"/>
      <c r="J81" s="9"/>
      <c r="K81" s="11"/>
      <c r="L81" s="9"/>
      <c r="M81" s="9"/>
      <c r="N81" s="9"/>
      <c r="O81" s="9"/>
    </row>
  </sheetData>
  <mergeCells count="16">
    <mergeCell ref="D81:F81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73:H73"/>
    <mergeCell ref="E76:N76"/>
    <mergeCell ref="E79:N79"/>
  </mergeCells>
  <pageMargins left="0.31496062992125984" right="0.31496062992125984" top="0.11811023622047245" bottom="0.41" header="0.23622047244094491" footer="0.52"/>
  <pageSetup paperSize="9" scale="58" fitToHeight="2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9"/>
  <sheetViews>
    <sheetView view="pageBreakPreview" topLeftCell="C90" zoomScale="70" zoomScaleSheetLayoutView="70" workbookViewId="0">
      <selection activeCell="AZ93" sqref="AZ92:AZ93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30"/>
      <c r="AR1" s="255"/>
      <c r="AS1" s="255"/>
      <c r="AT1" s="630"/>
      <c r="AU1" s="630"/>
      <c r="AV1" s="630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30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30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346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30"/>
      <c r="AR12" s="255"/>
      <c r="AS12" s="255"/>
      <c r="AT12" s="631"/>
      <c r="AU12" s="631"/>
      <c r="AV12" s="631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347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31"/>
      <c r="D16" s="748"/>
      <c r="E16" s="685"/>
      <c r="F16" s="685"/>
      <c r="G16" s="202"/>
      <c r="H16" s="201"/>
      <c r="I16" s="201"/>
      <c r="J16" s="241"/>
      <c r="K16" s="241"/>
      <c r="L16" s="241"/>
      <c r="M16" s="626" t="s">
        <v>77</v>
      </c>
      <c r="N16" s="626" t="s">
        <v>78</v>
      </c>
      <c r="O16" s="626" t="s">
        <v>77</v>
      </c>
      <c r="P16" s="626" t="s">
        <v>78</v>
      </c>
      <c r="Q16" s="626" t="s">
        <v>77</v>
      </c>
      <c r="R16" s="626" t="s">
        <v>78</v>
      </c>
      <c r="S16" s="626" t="s">
        <v>77</v>
      </c>
      <c r="T16" s="626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27" t="s">
        <v>77</v>
      </c>
      <c r="AE16" s="627" t="s">
        <v>78</v>
      </c>
      <c r="AF16" s="205" t="s">
        <v>77</v>
      </c>
      <c r="AG16" s="205" t="s">
        <v>78</v>
      </c>
      <c r="AH16" s="627" t="s">
        <v>77</v>
      </c>
      <c r="AI16" s="627" t="s">
        <v>78</v>
      </c>
      <c r="AJ16" s="207" t="s">
        <v>96</v>
      </c>
      <c r="AK16" s="96" t="s">
        <v>19</v>
      </c>
      <c r="AL16" s="628" t="s">
        <v>96</v>
      </c>
      <c r="AM16" s="628" t="s">
        <v>19</v>
      </c>
      <c r="AN16" s="216" t="s">
        <v>96</v>
      </c>
      <c r="AO16" s="216" t="s">
        <v>19</v>
      </c>
      <c r="AP16" s="207" t="s">
        <v>96</v>
      </c>
      <c r="AQ16" s="628" t="s">
        <v>96</v>
      </c>
      <c r="AR16" s="628" t="s">
        <v>107</v>
      </c>
      <c r="AS16" s="628" t="s">
        <v>19</v>
      </c>
      <c r="AT16" s="629" t="s">
        <v>96</v>
      </c>
      <c r="AU16" s="629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97" si="3">AQ18*AR18</f>
        <v>0</v>
      </c>
      <c r="AT18" s="233">
        <f>AV18</f>
        <v>0</v>
      </c>
      <c r="AU18" s="386">
        <f t="shared" ref="AU18:AU97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97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6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0</v>
      </c>
      <c r="AU22" s="228">
        <f t="shared" si="4"/>
        <v>0</v>
      </c>
      <c r="AV22" s="247">
        <v>0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0</v>
      </c>
      <c r="AU23" s="228">
        <f t="shared" si="4"/>
        <v>0</v>
      </c>
      <c r="AV23" s="247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0</v>
      </c>
      <c r="AU25" s="249">
        <f>AT25*AR25</f>
        <v>0</v>
      </c>
      <c r="AV25" s="247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88</v>
      </c>
      <c r="AU34" s="228"/>
      <c r="AV34" s="279">
        <v>88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88</v>
      </c>
      <c r="AU39" s="228"/>
      <c r="AV39" s="279">
        <v>88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0</v>
      </c>
      <c r="AU40" s="228"/>
      <c r="AV40" s="279">
        <v>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0</v>
      </c>
      <c r="AU41" s="228"/>
      <c r="AV41" s="279">
        <v>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30</v>
      </c>
      <c r="AU42" s="228"/>
      <c r="AV42" s="279">
        <v>30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21</v>
      </c>
      <c r="AU48" s="386">
        <f>AT48*AR48</f>
        <v>10278.449999999999</v>
      </c>
      <c r="AV48" s="279">
        <v>21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270</v>
      </c>
      <c r="AU54" s="386"/>
      <c r="AV54" s="279">
        <v>270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385</v>
      </c>
      <c r="AU62" s="249">
        <f t="shared" si="4"/>
        <v>77839.3</v>
      </c>
      <c r="AV62" s="247">
        <v>385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5</v>
      </c>
      <c r="AU65" s="249">
        <f t="shared" si="4"/>
        <v>1010.9000000000001</v>
      </c>
      <c r="AV65" s="247">
        <v>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44</v>
      </c>
      <c r="AU79" s="386"/>
      <c r="AV79" s="279">
        <v>44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236</v>
      </c>
      <c r="AU83" s="228"/>
      <c r="AV83" s="279">
        <v>236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9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51" t="s">
        <v>57</v>
      </c>
      <c r="G92" s="275" t="s">
        <v>279</v>
      </c>
      <c r="H92" s="115"/>
      <c r="I92" s="115"/>
      <c r="J92" s="115"/>
      <c r="K92" s="115"/>
      <c r="L92" s="276"/>
      <c r="M92" s="277"/>
      <c r="N92" s="276"/>
      <c r="O92" s="115"/>
      <c r="P92" s="276"/>
      <c r="Q92" s="115"/>
      <c r="R92" s="276"/>
      <c r="S92" s="115"/>
      <c r="T92" s="276"/>
      <c r="U92" s="278" t="s">
        <v>266</v>
      </c>
      <c r="V92" s="115"/>
      <c r="W92" s="114"/>
      <c r="X92" s="115"/>
      <c r="Y92" s="221"/>
      <c r="Z92" s="115"/>
      <c r="AA92" s="221"/>
      <c r="AB92" s="22"/>
      <c r="AC92" s="170"/>
      <c r="AD92" s="208"/>
      <c r="AE92" s="170"/>
      <c r="AF92" s="208"/>
      <c r="AG92" s="170"/>
      <c r="AH92" s="208"/>
      <c r="AI92" s="170"/>
      <c r="AJ92" s="233">
        <v>610</v>
      </c>
      <c r="AK92" s="170"/>
      <c r="AL92" s="270"/>
      <c r="AM92" s="170"/>
      <c r="AN92" s="270"/>
      <c r="AO92" s="170"/>
      <c r="AP92" s="233"/>
      <c r="AQ92" s="233"/>
      <c r="AR92" s="170"/>
      <c r="AS92" s="170"/>
      <c r="AT92" s="233">
        <f t="shared" si="9"/>
        <v>0</v>
      </c>
      <c r="AU92" s="386"/>
      <c r="AV92" s="233">
        <v>0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0</v>
      </c>
      <c r="AU93" s="228"/>
      <c r="AV93" s="279">
        <v>0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283</v>
      </c>
      <c r="AU94" s="228"/>
      <c r="AV94" s="279">
        <v>283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60"/>
      <c r="D98" s="22"/>
      <c r="E98" s="79"/>
      <c r="F98" s="632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62" customFormat="1" ht="38.25">
      <c r="A99" s="59"/>
      <c r="B99" s="60"/>
      <c r="C99" s="427"/>
      <c r="D99" s="428"/>
      <c r="E99" s="79"/>
      <c r="F99" s="632" t="s">
        <v>339</v>
      </c>
      <c r="G99" s="222" t="s">
        <v>340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07" t="s">
        <v>345</v>
      </c>
      <c r="V99" s="608"/>
      <c r="W99" s="609"/>
      <c r="X99" s="610"/>
      <c r="Y99" s="611"/>
      <c r="Z99" s="610"/>
      <c r="AA99" s="610"/>
      <c r="AB99" s="22"/>
      <c r="AC99" s="170"/>
      <c r="AD99" s="209"/>
      <c r="AE99" s="194"/>
      <c r="AF99" s="209"/>
      <c r="AG99" s="194"/>
      <c r="AH99" s="209"/>
      <c r="AI99" s="194"/>
      <c r="AJ99" s="232">
        <v>36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36</v>
      </c>
      <c r="AU99" s="228"/>
      <c r="AV99" s="279">
        <v>36</v>
      </c>
    </row>
    <row r="100" spans="1:48" s="251" customFormat="1" ht="21" customHeight="1">
      <c r="A100" s="20" t="s">
        <v>11</v>
      </c>
      <c r="B100" s="20"/>
      <c r="C100" s="20"/>
      <c r="D100" s="695" t="s">
        <v>34</v>
      </c>
      <c r="E100" s="696"/>
      <c r="F100" s="697"/>
      <c r="G100" s="246"/>
      <c r="H100" s="246"/>
      <c r="I100" s="246"/>
      <c r="J100" s="246"/>
      <c r="K100" s="247">
        <f>SUM(K17:K97)</f>
        <v>24</v>
      </c>
      <c r="L100" s="248"/>
      <c r="M100" s="246"/>
      <c r="N100" s="249">
        <f>SUM(N17:N97)</f>
        <v>2156307.44</v>
      </c>
      <c r="O100" s="248"/>
      <c r="P100" s="249">
        <f>SUM(P17:P97)</f>
        <v>1298976.4000000001</v>
      </c>
      <c r="Q100" s="248"/>
      <c r="R100" s="249">
        <f>SUM(R17:R97)</f>
        <v>928054.79999999993</v>
      </c>
      <c r="S100" s="248"/>
      <c r="T100" s="249">
        <f>SUM(T17:T97)</f>
        <v>466648.98</v>
      </c>
      <c r="U100" s="291" t="s">
        <v>156</v>
      </c>
      <c r="V100" s="291" t="s">
        <v>156</v>
      </c>
      <c r="W100" s="291" t="s">
        <v>156</v>
      </c>
      <c r="X100" s="250" t="s">
        <v>156</v>
      </c>
      <c r="Y100" s="250" t="s">
        <v>156</v>
      </c>
      <c r="Z100" s="250" t="s">
        <v>156</v>
      </c>
      <c r="AA100" s="250" t="s">
        <v>156</v>
      </c>
      <c r="AB100" s="176">
        <f>SUM(AB17:AB48)</f>
        <v>140</v>
      </c>
      <c r="AC100" s="171">
        <f>SUM(AC17:AC76)</f>
        <v>77947.959999999992</v>
      </c>
      <c r="AD100" s="210">
        <f t="shared" ref="AD100:AQ100" si="13">SUM(AD17:AD97)</f>
        <v>4914</v>
      </c>
      <c r="AE100" s="195">
        <f t="shared" si="13"/>
        <v>1078752.51</v>
      </c>
      <c r="AF100" s="210">
        <f t="shared" si="13"/>
        <v>0</v>
      </c>
      <c r="AG100" s="195">
        <f t="shared" si="13"/>
        <v>0</v>
      </c>
      <c r="AH100" s="210">
        <f t="shared" si="13"/>
        <v>0</v>
      </c>
      <c r="AI100" s="195">
        <f t="shared" si="13"/>
        <v>0</v>
      </c>
      <c r="AJ100" s="210">
        <f>SUM(AJ17:AJ99)</f>
        <v>8492</v>
      </c>
      <c r="AK100" s="175">
        <f t="shared" si="13"/>
        <v>1078752.51</v>
      </c>
      <c r="AL100" s="213">
        <f t="shared" si="13"/>
        <v>742</v>
      </c>
      <c r="AM100" s="214">
        <f t="shared" si="13"/>
        <v>175808.55000000005</v>
      </c>
      <c r="AN100" s="218">
        <f t="shared" si="13"/>
        <v>4312</v>
      </c>
      <c r="AO100" s="219">
        <f t="shared" si="13"/>
        <v>964298.99000000011</v>
      </c>
      <c r="AP100" s="286">
        <f t="shared" si="13"/>
        <v>0</v>
      </c>
      <c r="AQ100" s="287">
        <f t="shared" si="13"/>
        <v>0</v>
      </c>
      <c r="AR100" s="226" t="s">
        <v>156</v>
      </c>
      <c r="AS100" s="226">
        <f>SUM(AS17:AS97)</f>
        <v>0</v>
      </c>
      <c r="AT100" s="227">
        <f>SUM(AT17:AT99)</f>
        <v>6176</v>
      </c>
      <c r="AU100" s="228">
        <f>SUM(AU17:AU97)</f>
        <v>333684.53000000003</v>
      </c>
      <c r="AV100" s="510">
        <f>SUM(AV17:AV99)</f>
        <v>6176</v>
      </c>
    </row>
    <row r="101" spans="1:48" s="336" customFormat="1" ht="2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336" customFormat="1" ht="21" hidden="1" customHeight="1">
      <c r="A102" s="20"/>
      <c r="B102" s="20"/>
      <c r="C102" s="20"/>
      <c r="D102" s="294"/>
      <c r="E102" s="294"/>
      <c r="F102" s="294"/>
      <c r="G102" s="330"/>
      <c r="H102" s="330"/>
      <c r="I102" s="330"/>
      <c r="J102" s="330"/>
      <c r="K102" s="331"/>
      <c r="L102" s="332"/>
      <c r="M102" s="330"/>
      <c r="N102" s="333"/>
      <c r="O102" s="332"/>
      <c r="P102" s="333"/>
      <c r="Q102" s="332"/>
      <c r="R102" s="333"/>
      <c r="S102" s="332"/>
      <c r="T102" s="333"/>
      <c r="U102" s="295"/>
      <c r="V102" s="295"/>
      <c r="W102" s="295"/>
      <c r="X102" s="295"/>
      <c r="Y102" s="295"/>
      <c r="Z102" s="295"/>
      <c r="AA102" s="295"/>
      <c r="AB102" s="296"/>
      <c r="AC102" s="297"/>
      <c r="AD102" s="296"/>
      <c r="AE102" s="297"/>
      <c r="AF102" s="296"/>
      <c r="AG102" s="297"/>
      <c r="AH102" s="296"/>
      <c r="AI102" s="297"/>
      <c r="AJ102" s="478"/>
      <c r="AK102" s="299"/>
      <c r="AL102" s="334"/>
      <c r="AM102" s="297"/>
      <c r="AN102" s="296"/>
      <c r="AO102" s="297"/>
      <c r="AP102" s="298"/>
      <c r="AQ102" s="335"/>
      <c r="AR102" s="333"/>
      <c r="AS102" s="333"/>
      <c r="AT102" s="331"/>
      <c r="AU102" s="333"/>
      <c r="AV102" s="331"/>
    </row>
    <row r="103" spans="1:48" s="292" customFormat="1" ht="20.25" hidden="1">
      <c r="A103" s="301"/>
      <c r="B103" s="301"/>
      <c r="C103" s="301"/>
      <c r="D103" s="302"/>
      <c r="E103" s="301"/>
      <c r="F103" s="303" t="s">
        <v>205</v>
      </c>
      <c r="G103" s="303"/>
      <c r="H103" s="303" t="s">
        <v>208</v>
      </c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 t="s">
        <v>208</v>
      </c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20.25" hidden="1">
      <c r="A105" s="301"/>
      <c r="B105" s="301"/>
      <c r="C105" s="301"/>
      <c r="D105" s="302"/>
      <c r="E105" s="301"/>
      <c r="F105" s="303"/>
      <c r="G105" s="303"/>
      <c r="H105" s="303"/>
      <c r="I105" s="303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3"/>
      <c r="V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479"/>
      <c r="AK105" s="303"/>
      <c r="AL105" s="301"/>
      <c r="AM105" s="30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5" hidden="1" customHeight="1">
      <c r="A106" s="309"/>
      <c r="B106" s="309"/>
      <c r="C106" s="309"/>
      <c r="D106" s="302"/>
      <c r="E106" s="309"/>
      <c r="F106" s="310"/>
      <c r="G106" s="310"/>
      <c r="H106" s="308"/>
      <c r="I106" s="308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8"/>
      <c r="V106" s="311"/>
      <c r="AA106" s="311"/>
      <c r="AJ106" s="480"/>
      <c r="AK106" s="312"/>
      <c r="AL106" s="309"/>
      <c r="AM106" s="313"/>
      <c r="AN106" s="305"/>
      <c r="AO106" s="306"/>
      <c r="AP106" s="307"/>
      <c r="AQ106" s="302"/>
      <c r="AR106" s="308"/>
      <c r="AS106" s="308"/>
      <c r="AT106" s="302"/>
      <c r="AU106" s="302"/>
      <c r="AV106" s="302"/>
    </row>
    <row r="107" spans="1:48" s="292" customFormat="1" ht="18" hidden="1" customHeight="1">
      <c r="A107" s="314" t="s">
        <v>12</v>
      </c>
      <c r="B107" s="314"/>
      <c r="C107" s="314"/>
      <c r="D107" s="315"/>
      <c r="E107" s="314"/>
      <c r="F107" s="316" t="s">
        <v>206</v>
      </c>
      <c r="G107" s="316"/>
      <c r="H107" s="736" t="s">
        <v>209</v>
      </c>
      <c r="I107" s="736"/>
      <c r="J107" s="736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8"/>
      <c r="V107" s="319"/>
      <c r="X107" s="303"/>
      <c r="Y107" s="316"/>
      <c r="Z107" s="316"/>
      <c r="AA107" s="320" t="s">
        <v>209</v>
      </c>
      <c r="AB107" s="316"/>
      <c r="AC107" s="316"/>
      <c r="AD107" s="316"/>
      <c r="AE107" s="316"/>
      <c r="AF107" s="316"/>
      <c r="AG107" s="316"/>
      <c r="AH107" s="316"/>
      <c r="AI107" s="316"/>
      <c r="AJ107" s="481"/>
      <c r="AK107" s="316"/>
      <c r="AL107" s="314"/>
      <c r="AM107" s="316"/>
      <c r="AN107" s="314"/>
      <c r="AO107" s="321"/>
      <c r="AP107" s="307"/>
      <c r="AQ107" s="302"/>
      <c r="AR107" s="308"/>
      <c r="AS107" s="308"/>
      <c r="AT107" s="302"/>
      <c r="AU107" s="302"/>
      <c r="AV107" s="302"/>
    </row>
    <row r="108" spans="1:48" s="62" customFormat="1" ht="18.75" hidden="1">
      <c r="A108" s="11"/>
      <c r="B108" s="11"/>
      <c r="C108" s="11"/>
      <c r="D108" s="255"/>
      <c r="E108" s="11"/>
      <c r="F108" s="322"/>
      <c r="G108" s="322"/>
      <c r="H108" s="322"/>
      <c r="I108" s="322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482"/>
      <c r="AK108" s="322"/>
      <c r="AL108" s="324"/>
      <c r="AM108" s="322"/>
      <c r="AN108" s="281"/>
      <c r="AO108" s="325"/>
      <c r="AP108" s="326"/>
      <c r="AQ108" s="630"/>
      <c r="AR108" s="255"/>
      <c r="AS108" s="255"/>
      <c r="AT108" s="630"/>
      <c r="AU108" s="630"/>
      <c r="AV108" s="630"/>
    </row>
    <row r="109" spans="1:48" s="103" customFormat="1" ht="57.75" hidden="1" customHeight="1">
      <c r="A109" s="11"/>
      <c r="B109" s="11"/>
      <c r="C109" s="11"/>
      <c r="D109" s="255"/>
      <c r="E109" s="720" t="s">
        <v>207</v>
      </c>
      <c r="F109" s="720"/>
      <c r="G109" s="32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9"/>
      <c r="W109" s="329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483"/>
      <c r="AK109" s="11"/>
      <c r="AL109" s="281"/>
      <c r="AM109" s="11"/>
      <c r="AN109" s="281"/>
      <c r="AP109" s="326"/>
      <c r="AQ109" s="630"/>
      <c r="AR109" s="255"/>
      <c r="AS109" s="255"/>
      <c r="AT109" s="630"/>
      <c r="AU109" s="630"/>
      <c r="AV109" s="630"/>
    </row>
  </sheetData>
  <mergeCells count="40">
    <mergeCell ref="D11:AV11"/>
    <mergeCell ref="E6:AT6"/>
    <mergeCell ref="D7:AV7"/>
    <mergeCell ref="D8:AV8"/>
    <mergeCell ref="D9:AV9"/>
    <mergeCell ref="D10:AV10"/>
    <mergeCell ref="E109:F10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100:F100"/>
    <mergeCell ref="H107:J107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9"/>
  <sheetViews>
    <sheetView view="pageBreakPreview" topLeftCell="C1" zoomScale="70" zoomScaleSheetLayoutView="70" workbookViewId="0">
      <selection activeCell="AZ14" sqref="AZ14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37"/>
      <c r="AR1" s="255"/>
      <c r="AS1" s="255"/>
      <c r="AT1" s="637"/>
      <c r="AU1" s="637"/>
      <c r="AV1" s="637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37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37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348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37"/>
      <c r="AR12" s="255"/>
      <c r="AS12" s="255"/>
      <c r="AT12" s="638"/>
      <c r="AU12" s="638"/>
      <c r="AV12" s="638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349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38"/>
      <c r="D16" s="748"/>
      <c r="E16" s="685"/>
      <c r="F16" s="685"/>
      <c r="G16" s="202"/>
      <c r="H16" s="201"/>
      <c r="I16" s="201"/>
      <c r="J16" s="241"/>
      <c r="K16" s="241"/>
      <c r="L16" s="241"/>
      <c r="M16" s="636" t="s">
        <v>77</v>
      </c>
      <c r="N16" s="636" t="s">
        <v>78</v>
      </c>
      <c r="O16" s="636" t="s">
        <v>77</v>
      </c>
      <c r="P16" s="636" t="s">
        <v>78</v>
      </c>
      <c r="Q16" s="636" t="s">
        <v>77</v>
      </c>
      <c r="R16" s="636" t="s">
        <v>78</v>
      </c>
      <c r="S16" s="636" t="s">
        <v>77</v>
      </c>
      <c r="T16" s="636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35" t="s">
        <v>77</v>
      </c>
      <c r="AE16" s="635" t="s">
        <v>78</v>
      </c>
      <c r="AF16" s="205" t="s">
        <v>77</v>
      </c>
      <c r="AG16" s="205" t="s">
        <v>78</v>
      </c>
      <c r="AH16" s="635" t="s">
        <v>77</v>
      </c>
      <c r="AI16" s="635" t="s">
        <v>78</v>
      </c>
      <c r="AJ16" s="207" t="s">
        <v>96</v>
      </c>
      <c r="AK16" s="96" t="s">
        <v>19</v>
      </c>
      <c r="AL16" s="633" t="s">
        <v>96</v>
      </c>
      <c r="AM16" s="633" t="s">
        <v>19</v>
      </c>
      <c r="AN16" s="216" t="s">
        <v>96</v>
      </c>
      <c r="AO16" s="216" t="s">
        <v>19</v>
      </c>
      <c r="AP16" s="207" t="s">
        <v>96</v>
      </c>
      <c r="AQ16" s="633" t="s">
        <v>96</v>
      </c>
      <c r="AR16" s="633" t="s">
        <v>107</v>
      </c>
      <c r="AS16" s="633" t="s">
        <v>19</v>
      </c>
      <c r="AT16" s="634" t="s">
        <v>96</v>
      </c>
      <c r="AU16" s="634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97" si="3">AQ18*AR18</f>
        <v>0</v>
      </c>
      <c r="AT18" s="233">
        <f>AV18</f>
        <v>0</v>
      </c>
      <c r="AU18" s="386">
        <f t="shared" ref="AU18:AU97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97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6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0</v>
      </c>
      <c r="AU22" s="228">
        <f t="shared" si="4"/>
        <v>0</v>
      </c>
      <c r="AV22" s="247">
        <v>0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0</v>
      </c>
      <c r="AU23" s="228">
        <f t="shared" si="4"/>
        <v>0</v>
      </c>
      <c r="AV23" s="247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0</v>
      </c>
      <c r="AU25" s="249">
        <f>AT25*AR25</f>
        <v>0</v>
      </c>
      <c r="AV25" s="247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88</v>
      </c>
      <c r="AU34" s="228"/>
      <c r="AV34" s="279">
        <v>88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88</v>
      </c>
      <c r="AU39" s="228"/>
      <c r="AV39" s="279">
        <v>88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0</v>
      </c>
      <c r="AU40" s="228"/>
      <c r="AV40" s="279">
        <v>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0</v>
      </c>
      <c r="AU41" s="228"/>
      <c r="AV41" s="279">
        <v>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30</v>
      </c>
      <c r="AU42" s="228"/>
      <c r="AV42" s="279">
        <v>30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21</v>
      </c>
      <c r="AU48" s="386">
        <f>AT48*AR48</f>
        <v>10278.449999999999</v>
      </c>
      <c r="AV48" s="279">
        <v>21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270</v>
      </c>
      <c r="AU54" s="386"/>
      <c r="AV54" s="279">
        <v>270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385</v>
      </c>
      <c r="AU62" s="249">
        <f t="shared" si="4"/>
        <v>77839.3</v>
      </c>
      <c r="AV62" s="247">
        <v>385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5</v>
      </c>
      <c r="AU65" s="249">
        <f t="shared" si="4"/>
        <v>1010.9000000000001</v>
      </c>
      <c r="AV65" s="247">
        <v>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44</v>
      </c>
      <c r="AU79" s="386"/>
      <c r="AV79" s="279">
        <v>44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236</v>
      </c>
      <c r="AU83" s="228"/>
      <c r="AV83" s="279">
        <v>236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9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51" t="s">
        <v>57</v>
      </c>
      <c r="G92" s="275" t="s">
        <v>279</v>
      </c>
      <c r="H92" s="115"/>
      <c r="I92" s="115"/>
      <c r="J92" s="115"/>
      <c r="K92" s="115"/>
      <c r="L92" s="276"/>
      <c r="M92" s="277"/>
      <c r="N92" s="276"/>
      <c r="O92" s="115"/>
      <c r="P92" s="276"/>
      <c r="Q92" s="115"/>
      <c r="R92" s="276"/>
      <c r="S92" s="115"/>
      <c r="T92" s="276"/>
      <c r="U92" s="278" t="s">
        <v>266</v>
      </c>
      <c r="V92" s="115"/>
      <c r="W92" s="114"/>
      <c r="X92" s="115"/>
      <c r="Y92" s="221"/>
      <c r="Z92" s="115"/>
      <c r="AA92" s="221"/>
      <c r="AB92" s="22"/>
      <c r="AC92" s="170"/>
      <c r="AD92" s="208"/>
      <c r="AE92" s="170"/>
      <c r="AF92" s="208"/>
      <c r="AG92" s="170"/>
      <c r="AH92" s="208"/>
      <c r="AI92" s="170"/>
      <c r="AJ92" s="233">
        <v>610</v>
      </c>
      <c r="AK92" s="170"/>
      <c r="AL92" s="270"/>
      <c r="AM92" s="170"/>
      <c r="AN92" s="270"/>
      <c r="AO92" s="170"/>
      <c r="AP92" s="233"/>
      <c r="AQ92" s="233"/>
      <c r="AR92" s="170"/>
      <c r="AS92" s="170"/>
      <c r="AT92" s="233">
        <f t="shared" si="9"/>
        <v>0</v>
      </c>
      <c r="AU92" s="386"/>
      <c r="AV92" s="233">
        <v>0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0</v>
      </c>
      <c r="AU93" s="228"/>
      <c r="AV93" s="279">
        <v>0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283</v>
      </c>
      <c r="AU94" s="228"/>
      <c r="AV94" s="279">
        <v>283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60"/>
      <c r="D98" s="22"/>
      <c r="E98" s="79"/>
      <c r="F98" s="632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62" customFormat="1" ht="38.25">
      <c r="A99" s="59"/>
      <c r="B99" s="60"/>
      <c r="C99" s="60"/>
      <c r="D99" s="22"/>
      <c r="E99" s="79"/>
      <c r="F99" s="632" t="s">
        <v>339</v>
      </c>
      <c r="G99" s="222" t="s">
        <v>340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07" t="s">
        <v>345</v>
      </c>
      <c r="V99" s="608"/>
      <c r="W99" s="609"/>
      <c r="X99" s="610"/>
      <c r="Y99" s="611"/>
      <c r="Z99" s="610"/>
      <c r="AA99" s="610"/>
      <c r="AB99" s="22"/>
      <c r="AC99" s="170"/>
      <c r="AD99" s="209"/>
      <c r="AE99" s="194"/>
      <c r="AF99" s="209"/>
      <c r="AG99" s="194"/>
      <c r="AH99" s="209"/>
      <c r="AI99" s="194"/>
      <c r="AJ99" s="232">
        <v>36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36</v>
      </c>
      <c r="AU99" s="228"/>
      <c r="AV99" s="279">
        <v>36</v>
      </c>
    </row>
    <row r="100" spans="1:48" s="251" customFormat="1" ht="21" customHeight="1">
      <c r="A100" s="20" t="s">
        <v>11</v>
      </c>
      <c r="B100" s="20"/>
      <c r="C100" s="20"/>
      <c r="D100" s="695" t="s">
        <v>34</v>
      </c>
      <c r="E100" s="696"/>
      <c r="F100" s="697"/>
      <c r="G100" s="246"/>
      <c r="H100" s="246"/>
      <c r="I100" s="246"/>
      <c r="J100" s="246"/>
      <c r="K100" s="247">
        <f>SUM(K17:K97)</f>
        <v>24</v>
      </c>
      <c r="L100" s="248"/>
      <c r="M100" s="246"/>
      <c r="N100" s="249">
        <f>SUM(N17:N97)</f>
        <v>2156307.44</v>
      </c>
      <c r="O100" s="248"/>
      <c r="P100" s="249">
        <f>SUM(P17:P97)</f>
        <v>1298976.4000000001</v>
      </c>
      <c r="Q100" s="248"/>
      <c r="R100" s="249">
        <f>SUM(R17:R97)</f>
        <v>928054.79999999993</v>
      </c>
      <c r="S100" s="248"/>
      <c r="T100" s="249">
        <f>SUM(T17:T97)</f>
        <v>466648.98</v>
      </c>
      <c r="U100" s="291" t="s">
        <v>156</v>
      </c>
      <c r="V100" s="291" t="s">
        <v>156</v>
      </c>
      <c r="W100" s="291" t="s">
        <v>156</v>
      </c>
      <c r="X100" s="250" t="s">
        <v>156</v>
      </c>
      <c r="Y100" s="250" t="s">
        <v>156</v>
      </c>
      <c r="Z100" s="250" t="s">
        <v>156</v>
      </c>
      <c r="AA100" s="250" t="s">
        <v>156</v>
      </c>
      <c r="AB100" s="176">
        <f>SUM(AB17:AB48)</f>
        <v>140</v>
      </c>
      <c r="AC100" s="171">
        <f>SUM(AC17:AC76)</f>
        <v>77947.959999999992</v>
      </c>
      <c r="AD100" s="210">
        <f t="shared" ref="AD100:AQ100" si="13">SUM(AD17:AD97)</f>
        <v>4914</v>
      </c>
      <c r="AE100" s="195">
        <f t="shared" si="13"/>
        <v>1078752.51</v>
      </c>
      <c r="AF100" s="210">
        <f t="shared" si="13"/>
        <v>0</v>
      </c>
      <c r="AG100" s="195">
        <f t="shared" si="13"/>
        <v>0</v>
      </c>
      <c r="AH100" s="210">
        <f t="shared" si="13"/>
        <v>0</v>
      </c>
      <c r="AI100" s="195">
        <f t="shared" si="13"/>
        <v>0</v>
      </c>
      <c r="AJ100" s="210">
        <f>SUM(AJ17:AJ99)</f>
        <v>8492</v>
      </c>
      <c r="AK100" s="175">
        <f t="shared" si="13"/>
        <v>1078752.51</v>
      </c>
      <c r="AL100" s="213">
        <f t="shared" si="13"/>
        <v>742</v>
      </c>
      <c r="AM100" s="214">
        <f t="shared" si="13"/>
        <v>175808.55000000005</v>
      </c>
      <c r="AN100" s="218">
        <f t="shared" si="13"/>
        <v>4312</v>
      </c>
      <c r="AO100" s="219">
        <f t="shared" si="13"/>
        <v>964298.99000000011</v>
      </c>
      <c r="AP100" s="286">
        <f t="shared" si="13"/>
        <v>0</v>
      </c>
      <c r="AQ100" s="287">
        <f t="shared" si="13"/>
        <v>0</v>
      </c>
      <c r="AR100" s="226" t="s">
        <v>156</v>
      </c>
      <c r="AS100" s="226">
        <f>SUM(AS17:AS97)</f>
        <v>0</v>
      </c>
      <c r="AT100" s="227">
        <f>SUM(AT17:AT99)</f>
        <v>6176</v>
      </c>
      <c r="AU100" s="228">
        <f>SUM(AU17:AU97)</f>
        <v>333684.53000000003</v>
      </c>
      <c r="AV100" s="510">
        <f>SUM(AV17:AV99)</f>
        <v>6176</v>
      </c>
    </row>
    <row r="101" spans="1:48" s="336" customFormat="1" ht="2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336" customFormat="1" ht="21" hidden="1" customHeight="1">
      <c r="A102" s="20"/>
      <c r="B102" s="20"/>
      <c r="C102" s="20"/>
      <c r="D102" s="294"/>
      <c r="E102" s="294"/>
      <c r="F102" s="294"/>
      <c r="G102" s="330"/>
      <c r="H102" s="330"/>
      <c r="I102" s="330"/>
      <c r="J102" s="330"/>
      <c r="K102" s="331"/>
      <c r="L102" s="332"/>
      <c r="M102" s="330"/>
      <c r="N102" s="333"/>
      <c r="O102" s="332"/>
      <c r="P102" s="333"/>
      <c r="Q102" s="332"/>
      <c r="R102" s="333"/>
      <c r="S102" s="332"/>
      <c r="T102" s="333"/>
      <c r="U102" s="295"/>
      <c r="V102" s="295"/>
      <c r="W102" s="295"/>
      <c r="X102" s="295"/>
      <c r="Y102" s="295"/>
      <c r="Z102" s="295"/>
      <c r="AA102" s="295"/>
      <c r="AB102" s="296"/>
      <c r="AC102" s="297"/>
      <c r="AD102" s="296"/>
      <c r="AE102" s="297"/>
      <c r="AF102" s="296"/>
      <c r="AG102" s="297"/>
      <c r="AH102" s="296"/>
      <c r="AI102" s="297"/>
      <c r="AJ102" s="478"/>
      <c r="AK102" s="299"/>
      <c r="AL102" s="334"/>
      <c r="AM102" s="297"/>
      <c r="AN102" s="296"/>
      <c r="AO102" s="297"/>
      <c r="AP102" s="298"/>
      <c r="AQ102" s="335"/>
      <c r="AR102" s="333"/>
      <c r="AS102" s="333"/>
      <c r="AT102" s="331"/>
      <c r="AU102" s="333"/>
      <c r="AV102" s="331"/>
    </row>
    <row r="103" spans="1:48" s="292" customFormat="1" ht="20.25" hidden="1">
      <c r="A103" s="301"/>
      <c r="B103" s="301"/>
      <c r="C103" s="301"/>
      <c r="D103" s="302"/>
      <c r="E103" s="301"/>
      <c r="F103" s="303" t="s">
        <v>205</v>
      </c>
      <c r="G103" s="303"/>
      <c r="H103" s="303" t="s">
        <v>208</v>
      </c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 t="s">
        <v>208</v>
      </c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20.25" hidden="1">
      <c r="A105" s="301"/>
      <c r="B105" s="301"/>
      <c r="C105" s="301"/>
      <c r="D105" s="302"/>
      <c r="E105" s="301"/>
      <c r="F105" s="303"/>
      <c r="G105" s="303"/>
      <c r="H105" s="303"/>
      <c r="I105" s="303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3"/>
      <c r="V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479"/>
      <c r="AK105" s="303"/>
      <c r="AL105" s="301"/>
      <c r="AM105" s="30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5" hidden="1" customHeight="1">
      <c r="A106" s="309"/>
      <c r="B106" s="309"/>
      <c r="C106" s="309"/>
      <c r="D106" s="302"/>
      <c r="E106" s="309"/>
      <c r="F106" s="310"/>
      <c r="G106" s="310"/>
      <c r="H106" s="308"/>
      <c r="I106" s="308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8"/>
      <c r="V106" s="311"/>
      <c r="AA106" s="311"/>
      <c r="AJ106" s="480"/>
      <c r="AK106" s="312"/>
      <c r="AL106" s="309"/>
      <c r="AM106" s="313"/>
      <c r="AN106" s="305"/>
      <c r="AO106" s="306"/>
      <c r="AP106" s="307"/>
      <c r="AQ106" s="302"/>
      <c r="AR106" s="308"/>
      <c r="AS106" s="308"/>
      <c r="AT106" s="302"/>
      <c r="AU106" s="302"/>
      <c r="AV106" s="302"/>
    </row>
    <row r="107" spans="1:48" s="292" customFormat="1" ht="18" hidden="1" customHeight="1">
      <c r="A107" s="314" t="s">
        <v>12</v>
      </c>
      <c r="B107" s="314"/>
      <c r="C107" s="314"/>
      <c r="D107" s="315"/>
      <c r="E107" s="314"/>
      <c r="F107" s="316" t="s">
        <v>206</v>
      </c>
      <c r="G107" s="316"/>
      <c r="H107" s="736" t="s">
        <v>209</v>
      </c>
      <c r="I107" s="736"/>
      <c r="J107" s="736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8"/>
      <c r="V107" s="319"/>
      <c r="X107" s="303"/>
      <c r="Y107" s="316"/>
      <c r="Z107" s="316"/>
      <c r="AA107" s="320" t="s">
        <v>209</v>
      </c>
      <c r="AB107" s="316"/>
      <c r="AC107" s="316"/>
      <c r="AD107" s="316"/>
      <c r="AE107" s="316"/>
      <c r="AF107" s="316"/>
      <c r="AG107" s="316"/>
      <c r="AH107" s="316"/>
      <c r="AI107" s="316"/>
      <c r="AJ107" s="481"/>
      <c r="AK107" s="316"/>
      <c r="AL107" s="314"/>
      <c r="AM107" s="316"/>
      <c r="AN107" s="314"/>
      <c r="AO107" s="321"/>
      <c r="AP107" s="307"/>
      <c r="AQ107" s="302"/>
      <c r="AR107" s="308"/>
      <c r="AS107" s="308"/>
      <c r="AT107" s="302"/>
      <c r="AU107" s="302"/>
      <c r="AV107" s="302"/>
    </row>
    <row r="108" spans="1:48" s="62" customFormat="1" ht="18.75" hidden="1">
      <c r="A108" s="11"/>
      <c r="B108" s="11"/>
      <c r="C108" s="11"/>
      <c r="D108" s="255"/>
      <c r="E108" s="11"/>
      <c r="F108" s="322"/>
      <c r="G108" s="322"/>
      <c r="H108" s="322"/>
      <c r="I108" s="322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482"/>
      <c r="AK108" s="322"/>
      <c r="AL108" s="324"/>
      <c r="AM108" s="322"/>
      <c r="AN108" s="281"/>
      <c r="AO108" s="325"/>
      <c r="AP108" s="326"/>
      <c r="AQ108" s="637"/>
      <c r="AR108" s="255"/>
      <c r="AS108" s="255"/>
      <c r="AT108" s="637"/>
      <c r="AU108" s="637"/>
      <c r="AV108" s="637"/>
    </row>
    <row r="109" spans="1:48" s="103" customFormat="1" ht="57.75" hidden="1" customHeight="1">
      <c r="A109" s="11"/>
      <c r="B109" s="11"/>
      <c r="C109" s="11"/>
      <c r="D109" s="255"/>
      <c r="E109" s="720" t="s">
        <v>207</v>
      </c>
      <c r="F109" s="720"/>
      <c r="G109" s="32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9"/>
      <c r="W109" s="329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483"/>
      <c r="AK109" s="11"/>
      <c r="AL109" s="281"/>
      <c r="AM109" s="11"/>
      <c r="AN109" s="281"/>
      <c r="AP109" s="326"/>
      <c r="AQ109" s="637"/>
      <c r="AR109" s="255"/>
      <c r="AS109" s="255"/>
      <c r="AT109" s="637"/>
      <c r="AU109" s="637"/>
      <c r="AV109" s="637"/>
    </row>
  </sheetData>
  <mergeCells count="40">
    <mergeCell ref="AT15:AU15"/>
    <mergeCell ref="AB14:AC15"/>
    <mergeCell ref="AD14:AI14"/>
    <mergeCell ref="AF15:AG15"/>
    <mergeCell ref="AH15:AI15"/>
    <mergeCell ref="AQ14:AS15"/>
    <mergeCell ref="AT14:AV14"/>
    <mergeCell ref="AD15:AE15"/>
    <mergeCell ref="X14:Y15"/>
    <mergeCell ref="Z14:AA15"/>
    <mergeCell ref="O14:T14"/>
    <mergeCell ref="D100:F100"/>
    <mergeCell ref="H107:J107"/>
    <mergeCell ref="U14:U16"/>
    <mergeCell ref="V14:W15"/>
    <mergeCell ref="O15:P15"/>
    <mergeCell ref="Q15:R15"/>
    <mergeCell ref="S15:T15"/>
    <mergeCell ref="E109:F10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9"/>
  <sheetViews>
    <sheetView view="pageBreakPreview" topLeftCell="C1" zoomScale="70" zoomScaleSheetLayoutView="70" workbookViewId="0">
      <selection activeCell="AY15" sqref="AY15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43"/>
      <c r="AR1" s="255"/>
      <c r="AS1" s="255"/>
      <c r="AT1" s="643"/>
      <c r="AU1" s="643"/>
      <c r="AV1" s="643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43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43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350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43"/>
      <c r="AR12" s="255"/>
      <c r="AS12" s="255"/>
      <c r="AT12" s="644"/>
      <c r="AU12" s="644"/>
      <c r="AV12" s="644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351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44"/>
      <c r="D16" s="748"/>
      <c r="E16" s="685"/>
      <c r="F16" s="685"/>
      <c r="G16" s="202"/>
      <c r="H16" s="201"/>
      <c r="I16" s="201"/>
      <c r="J16" s="241"/>
      <c r="K16" s="241"/>
      <c r="L16" s="241"/>
      <c r="M16" s="639" t="s">
        <v>77</v>
      </c>
      <c r="N16" s="639" t="s">
        <v>78</v>
      </c>
      <c r="O16" s="639" t="s">
        <v>77</v>
      </c>
      <c r="P16" s="639" t="s">
        <v>78</v>
      </c>
      <c r="Q16" s="639" t="s">
        <v>77</v>
      </c>
      <c r="R16" s="639" t="s">
        <v>78</v>
      </c>
      <c r="S16" s="639" t="s">
        <v>77</v>
      </c>
      <c r="T16" s="63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40" t="s">
        <v>77</v>
      </c>
      <c r="AE16" s="640" t="s">
        <v>78</v>
      </c>
      <c r="AF16" s="205" t="s">
        <v>77</v>
      </c>
      <c r="AG16" s="205" t="s">
        <v>78</v>
      </c>
      <c r="AH16" s="640" t="s">
        <v>77</v>
      </c>
      <c r="AI16" s="640" t="s">
        <v>78</v>
      </c>
      <c r="AJ16" s="207" t="s">
        <v>96</v>
      </c>
      <c r="AK16" s="96" t="s">
        <v>19</v>
      </c>
      <c r="AL16" s="641" t="s">
        <v>96</v>
      </c>
      <c r="AM16" s="641" t="s">
        <v>19</v>
      </c>
      <c r="AN16" s="216" t="s">
        <v>96</v>
      </c>
      <c r="AO16" s="216" t="s">
        <v>19</v>
      </c>
      <c r="AP16" s="207" t="s">
        <v>96</v>
      </c>
      <c r="AQ16" s="641" t="s">
        <v>96</v>
      </c>
      <c r="AR16" s="641" t="s">
        <v>107</v>
      </c>
      <c r="AS16" s="641" t="s">
        <v>19</v>
      </c>
      <c r="AT16" s="642" t="s">
        <v>96</v>
      </c>
      <c r="AU16" s="642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97" si="3">AQ18*AR18</f>
        <v>0</v>
      </c>
      <c r="AT18" s="233">
        <f>AV18</f>
        <v>0</v>
      </c>
      <c r="AU18" s="386">
        <f t="shared" ref="AU18:AU97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97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6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customHeight="1">
      <c r="A22" s="59"/>
      <c r="B22" s="60"/>
      <c r="C22" s="137"/>
      <c r="D22" s="192"/>
      <c r="E22" s="79" t="s">
        <v>27</v>
      </c>
      <c r="F22" s="525" t="s">
        <v>29</v>
      </c>
      <c r="G22" s="222" t="s">
        <v>123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527" t="s">
        <v>193</v>
      </c>
      <c r="V22" s="192">
        <v>833</v>
      </c>
      <c r="W22" s="528">
        <v>42347</v>
      </c>
      <c r="X22" s="192">
        <v>65</v>
      </c>
      <c r="Y22" s="199">
        <v>42396</v>
      </c>
      <c r="Z22" s="192"/>
      <c r="AA22" s="192"/>
      <c r="AB22" s="529">
        <v>1</v>
      </c>
      <c r="AC22" s="530">
        <v>2094.4</v>
      </c>
      <c r="AD22" s="531"/>
      <c r="AE22" s="530"/>
      <c r="AF22" s="531"/>
      <c r="AG22" s="530"/>
      <c r="AH22" s="531"/>
      <c r="AI22" s="530"/>
      <c r="AJ22" s="247"/>
      <c r="AK22" s="170">
        <f t="shared" si="5"/>
        <v>0</v>
      </c>
      <c r="AL22" s="272"/>
      <c r="AM22" s="212"/>
      <c r="AN22" s="269">
        <v>1</v>
      </c>
      <c r="AO22" s="217">
        <f t="shared" si="2"/>
        <v>2094.4</v>
      </c>
      <c r="AP22" s="232"/>
      <c r="AQ22" s="229"/>
      <c r="AR22" s="212">
        <v>2094.4</v>
      </c>
      <c r="AS22" s="212">
        <f t="shared" si="3"/>
        <v>0</v>
      </c>
      <c r="AT22" s="247">
        <v>0</v>
      </c>
      <c r="AU22" s="228">
        <f t="shared" si="4"/>
        <v>0</v>
      </c>
      <c r="AV22" s="247">
        <v>0</v>
      </c>
    </row>
    <row r="23" spans="1:49" s="89" customFormat="1" ht="33.75">
      <c r="A23" s="80"/>
      <c r="B23" s="81"/>
      <c r="C23" s="137"/>
      <c r="D23" s="192"/>
      <c r="E23" s="100" t="s">
        <v>36</v>
      </c>
      <c r="F23" s="525" t="s">
        <v>29</v>
      </c>
      <c r="G23" s="222" t="s">
        <v>123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527"/>
      <c r="V23" s="192">
        <v>1034</v>
      </c>
      <c r="W23" s="528">
        <v>42647</v>
      </c>
      <c r="X23" s="192">
        <v>1232</v>
      </c>
      <c r="Y23" s="199">
        <v>42698</v>
      </c>
      <c r="Z23" s="192"/>
      <c r="AA23" s="192"/>
      <c r="AB23" s="529">
        <v>1</v>
      </c>
      <c r="AC23" s="530">
        <v>2094.4</v>
      </c>
      <c r="AD23" s="531"/>
      <c r="AE23" s="530"/>
      <c r="AF23" s="531"/>
      <c r="AG23" s="530"/>
      <c r="AH23" s="531"/>
      <c r="AI23" s="530"/>
      <c r="AJ23" s="247"/>
      <c r="AK23" s="170">
        <f t="shared" si="5"/>
        <v>0</v>
      </c>
      <c r="AL23" s="272"/>
      <c r="AM23" s="212"/>
      <c r="AN23" s="269">
        <v>1</v>
      </c>
      <c r="AO23" s="217">
        <f t="shared" si="2"/>
        <v>2094.4</v>
      </c>
      <c r="AP23" s="232"/>
      <c r="AQ23" s="229"/>
      <c r="AR23" s="212">
        <v>2094.4</v>
      </c>
      <c r="AS23" s="212">
        <f t="shared" si="3"/>
        <v>0</v>
      </c>
      <c r="AT23" s="247">
        <v>0</v>
      </c>
      <c r="AU23" s="228">
        <f t="shared" si="4"/>
        <v>0</v>
      </c>
      <c r="AV23" s="247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customHeight="1">
      <c r="A25" s="59"/>
      <c r="B25" s="60"/>
      <c r="C25" s="137"/>
      <c r="D25" s="192"/>
      <c r="E25" s="79" t="s">
        <v>24</v>
      </c>
      <c r="F25" s="525" t="s">
        <v>58</v>
      </c>
      <c r="G25" s="222" t="s">
        <v>123</v>
      </c>
      <c r="H25" s="193" t="s">
        <v>91</v>
      </c>
      <c r="I25" s="193" t="s">
        <v>91</v>
      </c>
      <c r="J25" s="193"/>
      <c r="K25" s="193"/>
      <c r="L25" s="243"/>
      <c r="M25" s="242">
        <f>J25*K25</f>
        <v>0</v>
      </c>
      <c r="N25" s="243">
        <f>L25*M25</f>
        <v>0</v>
      </c>
      <c r="O25" s="193"/>
      <c r="P25" s="243"/>
      <c r="Q25" s="193"/>
      <c r="R25" s="243"/>
      <c r="S25" s="193"/>
      <c r="T25" s="243"/>
      <c r="U25" s="527" t="s">
        <v>170</v>
      </c>
      <c r="V25" s="193">
        <v>834</v>
      </c>
      <c r="W25" s="532">
        <v>43222</v>
      </c>
      <c r="X25" s="193" t="s">
        <v>162</v>
      </c>
      <c r="Y25" s="200">
        <v>43242</v>
      </c>
      <c r="Z25" s="193"/>
      <c r="AA25" s="193"/>
      <c r="AB25" s="192">
        <v>0</v>
      </c>
      <c r="AC25" s="530">
        <v>0</v>
      </c>
      <c r="AD25" s="531">
        <v>2</v>
      </c>
      <c r="AE25" s="530">
        <v>4531.12</v>
      </c>
      <c r="AF25" s="531"/>
      <c r="AG25" s="530"/>
      <c r="AH25" s="531"/>
      <c r="AI25" s="530"/>
      <c r="AJ25" s="247"/>
      <c r="AK25" s="170">
        <f>AE25+AG25+AI25</f>
        <v>4531.12</v>
      </c>
      <c r="AL25" s="272">
        <v>0</v>
      </c>
      <c r="AM25" s="212">
        <v>0</v>
      </c>
      <c r="AN25" s="269">
        <v>2</v>
      </c>
      <c r="AO25" s="217">
        <f>AC25+AK25-AM25</f>
        <v>4531.12</v>
      </c>
      <c r="AP25" s="232"/>
      <c r="AQ25" s="229"/>
      <c r="AR25" s="212">
        <v>2265.56</v>
      </c>
      <c r="AS25" s="212">
        <f>AQ25*AR25</f>
        <v>0</v>
      </c>
      <c r="AT25" s="247">
        <v>0</v>
      </c>
      <c r="AU25" s="249">
        <f>AT25*AR25</f>
        <v>0</v>
      </c>
      <c r="AV25" s="247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88</v>
      </c>
      <c r="AU34" s="228"/>
      <c r="AV34" s="279">
        <v>88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179" t="s">
        <v>53</v>
      </c>
      <c r="G36" s="222" t="s">
        <v>168</v>
      </c>
      <c r="H36" s="193"/>
      <c r="I36" s="193"/>
      <c r="J36" s="193"/>
      <c r="K36" s="193"/>
      <c r="L36" s="243"/>
      <c r="M36" s="242"/>
      <c r="N36" s="243"/>
      <c r="O36" s="193"/>
      <c r="P36" s="243"/>
      <c r="Q36" s="193"/>
      <c r="R36" s="243"/>
      <c r="S36" s="193"/>
      <c r="T36" s="243"/>
      <c r="U36" s="203" t="s">
        <v>268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46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0</v>
      </c>
      <c r="AU36" s="228"/>
      <c r="AV36" s="279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88</v>
      </c>
      <c r="AU39" s="228"/>
      <c r="AV39" s="279">
        <v>88</v>
      </c>
    </row>
    <row r="40" spans="1:48" s="62" customFormat="1" ht="26.25" customHeight="1">
      <c r="A40" s="59"/>
      <c r="B40" s="60"/>
      <c r="C40" s="60"/>
      <c r="D40" s="22"/>
      <c r="E40" s="79"/>
      <c r="F40" s="162" t="s">
        <v>43</v>
      </c>
      <c r="G40" s="222" t="s">
        <v>163</v>
      </c>
      <c r="H40" s="193"/>
      <c r="I40" s="193"/>
      <c r="J40" s="193"/>
      <c r="K40" s="193"/>
      <c r="L40" s="243"/>
      <c r="M40" s="242"/>
      <c r="N40" s="243"/>
      <c r="O40" s="193"/>
      <c r="P40" s="243"/>
      <c r="Q40" s="193"/>
      <c r="R40" s="243"/>
      <c r="S40" s="193"/>
      <c r="T40" s="243"/>
      <c r="U40" s="203" t="s">
        <v>260</v>
      </c>
      <c r="V40" s="115"/>
      <c r="W40" s="114"/>
      <c r="X40" s="193"/>
      <c r="Y40" s="200"/>
      <c r="Z40" s="193"/>
      <c r="AA40" s="193"/>
      <c r="AB40" s="35"/>
      <c r="AC40" s="170"/>
      <c r="AD40" s="209"/>
      <c r="AE40" s="194"/>
      <c r="AF40" s="209"/>
      <c r="AG40" s="194"/>
      <c r="AH40" s="209"/>
      <c r="AI40" s="194"/>
      <c r="AJ40" s="232">
        <v>50</v>
      </c>
      <c r="AK40" s="170"/>
      <c r="AL40" s="272"/>
      <c r="AM40" s="212"/>
      <c r="AN40" s="269"/>
      <c r="AO40" s="217"/>
      <c r="AP40" s="232"/>
      <c r="AQ40" s="229"/>
      <c r="AR40" s="212"/>
      <c r="AS40" s="212"/>
      <c r="AT40" s="247">
        <f t="shared" si="6"/>
        <v>0</v>
      </c>
      <c r="AU40" s="228"/>
      <c r="AV40" s="279">
        <v>0</v>
      </c>
    </row>
    <row r="41" spans="1:48" s="62" customFormat="1" ht="26.25" customHeight="1">
      <c r="A41" s="59"/>
      <c r="B41" s="60"/>
      <c r="C41" s="60"/>
      <c r="D41" s="22"/>
      <c r="E41" s="79"/>
      <c r="F41" s="162" t="s">
        <v>43</v>
      </c>
      <c r="G41" s="222" t="s">
        <v>163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261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60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0</v>
      </c>
      <c r="AU41" s="228"/>
      <c r="AV41" s="279">
        <v>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30</v>
      </c>
      <c r="AU42" s="228"/>
      <c r="AV42" s="279">
        <v>30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25</v>
      </c>
      <c r="AU43" s="228"/>
      <c r="AV43" s="279">
        <v>25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5</v>
      </c>
      <c r="AU44" s="228"/>
      <c r="AV44" s="279">
        <v>5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21</v>
      </c>
      <c r="AU48" s="386">
        <f>AT48*AR48</f>
        <v>10278.449999999999</v>
      </c>
      <c r="AV48" s="279">
        <v>21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50</v>
      </c>
      <c r="AU50" s="386"/>
      <c r="AV50" s="279">
        <v>50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75</v>
      </c>
      <c r="AU51" s="386"/>
      <c r="AV51" s="279">
        <v>75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270</v>
      </c>
      <c r="AU54" s="386"/>
      <c r="AV54" s="279">
        <v>270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385</v>
      </c>
      <c r="AU62" s="249">
        <f t="shared" si="4"/>
        <v>77839.3</v>
      </c>
      <c r="AV62" s="247">
        <v>385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5</v>
      </c>
      <c r="AU65" s="249">
        <f t="shared" si="4"/>
        <v>1010.9000000000001</v>
      </c>
      <c r="AV65" s="247">
        <v>5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44</v>
      </c>
      <c r="AU79" s="386"/>
      <c r="AV79" s="279">
        <v>44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76</v>
      </c>
      <c r="AU81" s="386"/>
      <c r="AV81" s="279">
        <v>76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236</v>
      </c>
      <c r="AU83" s="228"/>
      <c r="AV83" s="279">
        <v>236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9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51" t="s">
        <v>57</v>
      </c>
      <c r="G92" s="275" t="s">
        <v>279</v>
      </c>
      <c r="H92" s="115"/>
      <c r="I92" s="115"/>
      <c r="J92" s="115"/>
      <c r="K92" s="115"/>
      <c r="L92" s="276"/>
      <c r="M92" s="277"/>
      <c r="N92" s="276"/>
      <c r="O92" s="115"/>
      <c r="P92" s="276"/>
      <c r="Q92" s="115"/>
      <c r="R92" s="276"/>
      <c r="S92" s="115"/>
      <c r="T92" s="276"/>
      <c r="U92" s="278" t="s">
        <v>266</v>
      </c>
      <c r="V92" s="115"/>
      <c r="W92" s="114"/>
      <c r="X92" s="115"/>
      <c r="Y92" s="221"/>
      <c r="Z92" s="115"/>
      <c r="AA92" s="221"/>
      <c r="AB92" s="22"/>
      <c r="AC92" s="170"/>
      <c r="AD92" s="208"/>
      <c r="AE92" s="170"/>
      <c r="AF92" s="208"/>
      <c r="AG92" s="170"/>
      <c r="AH92" s="208"/>
      <c r="AI92" s="170"/>
      <c r="AJ92" s="233">
        <v>610</v>
      </c>
      <c r="AK92" s="170"/>
      <c r="AL92" s="270"/>
      <c r="AM92" s="170"/>
      <c r="AN92" s="270"/>
      <c r="AO92" s="170"/>
      <c r="AP92" s="233"/>
      <c r="AQ92" s="233"/>
      <c r="AR92" s="170"/>
      <c r="AS92" s="170"/>
      <c r="AT92" s="233">
        <f t="shared" si="9"/>
        <v>0</v>
      </c>
      <c r="AU92" s="386"/>
      <c r="AV92" s="233">
        <v>0</v>
      </c>
    </row>
    <row r="93" spans="1:48" s="62" customFormat="1" ht="31.5">
      <c r="A93" s="59"/>
      <c r="B93" s="60"/>
      <c r="C93" s="60"/>
      <c r="D93" s="22"/>
      <c r="E93" s="79"/>
      <c r="F93" s="150" t="s">
        <v>57</v>
      </c>
      <c r="G93" s="222" t="s">
        <v>279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284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723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0</v>
      </c>
      <c r="AU93" s="228"/>
      <c r="AV93" s="279">
        <v>0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283</v>
      </c>
      <c r="AU94" s="228"/>
      <c r="AV94" s="279">
        <v>283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726</v>
      </c>
      <c r="AU95" s="228"/>
      <c r="AV95" s="279">
        <v>726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60"/>
      <c r="D98" s="22"/>
      <c r="E98" s="79"/>
      <c r="F98" s="632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62" customFormat="1" ht="38.25">
      <c r="A99" s="59"/>
      <c r="B99" s="60"/>
      <c r="C99" s="60"/>
      <c r="D99" s="22"/>
      <c r="E99" s="79"/>
      <c r="F99" s="632" t="s">
        <v>339</v>
      </c>
      <c r="G99" s="222" t="s">
        <v>340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07" t="s">
        <v>345</v>
      </c>
      <c r="V99" s="608"/>
      <c r="W99" s="609"/>
      <c r="X99" s="610"/>
      <c r="Y99" s="611"/>
      <c r="Z99" s="610"/>
      <c r="AA99" s="610"/>
      <c r="AB99" s="22"/>
      <c r="AC99" s="170"/>
      <c r="AD99" s="209"/>
      <c r="AE99" s="194"/>
      <c r="AF99" s="209"/>
      <c r="AG99" s="194"/>
      <c r="AH99" s="209"/>
      <c r="AI99" s="194"/>
      <c r="AJ99" s="232">
        <v>36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36</v>
      </c>
      <c r="AU99" s="228"/>
      <c r="AV99" s="279">
        <v>36</v>
      </c>
    </row>
    <row r="100" spans="1:48" s="251" customFormat="1" ht="21" customHeight="1">
      <c r="A100" s="20" t="s">
        <v>11</v>
      </c>
      <c r="B100" s="20"/>
      <c r="C100" s="20"/>
      <c r="D100" s="695" t="s">
        <v>34</v>
      </c>
      <c r="E100" s="696"/>
      <c r="F100" s="697"/>
      <c r="G100" s="246"/>
      <c r="H100" s="246"/>
      <c r="I100" s="246"/>
      <c r="J100" s="246"/>
      <c r="K100" s="247">
        <f>SUM(K17:K97)</f>
        <v>24</v>
      </c>
      <c r="L100" s="248"/>
      <c r="M100" s="246"/>
      <c r="N100" s="249">
        <f>SUM(N17:N97)</f>
        <v>2156307.44</v>
      </c>
      <c r="O100" s="248"/>
      <c r="P100" s="249">
        <f>SUM(P17:P97)</f>
        <v>1298976.4000000001</v>
      </c>
      <c r="Q100" s="248"/>
      <c r="R100" s="249">
        <f>SUM(R17:R97)</f>
        <v>928054.79999999993</v>
      </c>
      <c r="S100" s="248"/>
      <c r="T100" s="249">
        <f>SUM(T17:T97)</f>
        <v>466648.98</v>
      </c>
      <c r="U100" s="291" t="s">
        <v>156</v>
      </c>
      <c r="V100" s="291" t="s">
        <v>156</v>
      </c>
      <c r="W100" s="291" t="s">
        <v>156</v>
      </c>
      <c r="X100" s="250" t="s">
        <v>156</v>
      </c>
      <c r="Y100" s="250" t="s">
        <v>156</v>
      </c>
      <c r="Z100" s="250" t="s">
        <v>156</v>
      </c>
      <c r="AA100" s="250" t="s">
        <v>156</v>
      </c>
      <c r="AB100" s="176">
        <f>SUM(AB17:AB48)</f>
        <v>140</v>
      </c>
      <c r="AC100" s="171">
        <f>SUM(AC17:AC76)</f>
        <v>77947.959999999992</v>
      </c>
      <c r="AD100" s="210">
        <f t="shared" ref="AD100:AQ100" si="13">SUM(AD17:AD97)</f>
        <v>4914</v>
      </c>
      <c r="AE100" s="195">
        <f t="shared" si="13"/>
        <v>1078752.51</v>
      </c>
      <c r="AF100" s="210">
        <f t="shared" si="13"/>
        <v>0</v>
      </c>
      <c r="AG100" s="195">
        <f t="shared" si="13"/>
        <v>0</v>
      </c>
      <c r="AH100" s="210">
        <f t="shared" si="13"/>
        <v>0</v>
      </c>
      <c r="AI100" s="195">
        <f t="shared" si="13"/>
        <v>0</v>
      </c>
      <c r="AJ100" s="210">
        <f>SUM(AJ17:AJ99)</f>
        <v>8492</v>
      </c>
      <c r="AK100" s="175">
        <f t="shared" si="13"/>
        <v>1078752.51</v>
      </c>
      <c r="AL100" s="213">
        <f t="shared" si="13"/>
        <v>742</v>
      </c>
      <c r="AM100" s="214">
        <f t="shared" si="13"/>
        <v>175808.55000000005</v>
      </c>
      <c r="AN100" s="218">
        <f t="shared" si="13"/>
        <v>4312</v>
      </c>
      <c r="AO100" s="219">
        <f t="shared" si="13"/>
        <v>964298.99000000011</v>
      </c>
      <c r="AP100" s="286">
        <f t="shared" si="13"/>
        <v>0</v>
      </c>
      <c r="AQ100" s="287">
        <f t="shared" si="13"/>
        <v>0</v>
      </c>
      <c r="AR100" s="226" t="s">
        <v>156</v>
      </c>
      <c r="AS100" s="226">
        <f>SUM(AS17:AS97)</f>
        <v>0</v>
      </c>
      <c r="AT100" s="227">
        <f>SUM(AT17:AT99)</f>
        <v>6176</v>
      </c>
      <c r="AU100" s="228">
        <f>SUM(AU17:AU97)</f>
        <v>333684.53000000003</v>
      </c>
      <c r="AV100" s="510">
        <f>SUM(AV17:AV99)</f>
        <v>6176</v>
      </c>
    </row>
    <row r="101" spans="1:48" s="336" customFormat="1" ht="2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336" customFormat="1" ht="21" hidden="1" customHeight="1">
      <c r="A102" s="20"/>
      <c r="B102" s="20"/>
      <c r="C102" s="20"/>
      <c r="D102" s="294"/>
      <c r="E102" s="294"/>
      <c r="F102" s="294"/>
      <c r="G102" s="330"/>
      <c r="H102" s="330"/>
      <c r="I102" s="330"/>
      <c r="J102" s="330"/>
      <c r="K102" s="331"/>
      <c r="L102" s="332"/>
      <c r="M102" s="330"/>
      <c r="N102" s="333"/>
      <c r="O102" s="332"/>
      <c r="P102" s="333"/>
      <c r="Q102" s="332"/>
      <c r="R102" s="333"/>
      <c r="S102" s="332"/>
      <c r="T102" s="333"/>
      <c r="U102" s="295"/>
      <c r="V102" s="295"/>
      <c r="W102" s="295"/>
      <c r="X102" s="295"/>
      <c r="Y102" s="295"/>
      <c r="Z102" s="295"/>
      <c r="AA102" s="295"/>
      <c r="AB102" s="296"/>
      <c r="AC102" s="297"/>
      <c r="AD102" s="296"/>
      <c r="AE102" s="297"/>
      <c r="AF102" s="296"/>
      <c r="AG102" s="297"/>
      <c r="AH102" s="296"/>
      <c r="AI102" s="297"/>
      <c r="AJ102" s="478"/>
      <c r="AK102" s="299"/>
      <c r="AL102" s="334"/>
      <c r="AM102" s="297"/>
      <c r="AN102" s="296"/>
      <c r="AO102" s="297"/>
      <c r="AP102" s="298"/>
      <c r="AQ102" s="335"/>
      <c r="AR102" s="333"/>
      <c r="AS102" s="333"/>
      <c r="AT102" s="331"/>
      <c r="AU102" s="333"/>
      <c r="AV102" s="331"/>
    </row>
    <row r="103" spans="1:48" s="292" customFormat="1" ht="20.25" hidden="1">
      <c r="A103" s="301"/>
      <c r="B103" s="301"/>
      <c r="C103" s="301"/>
      <c r="D103" s="302"/>
      <c r="E103" s="301"/>
      <c r="F103" s="303" t="s">
        <v>205</v>
      </c>
      <c r="G103" s="303"/>
      <c r="H103" s="303" t="s">
        <v>208</v>
      </c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 t="s">
        <v>208</v>
      </c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20.25" hidden="1">
      <c r="A105" s="301"/>
      <c r="B105" s="301"/>
      <c r="C105" s="301"/>
      <c r="D105" s="302"/>
      <c r="E105" s="301"/>
      <c r="F105" s="303"/>
      <c r="G105" s="303"/>
      <c r="H105" s="303"/>
      <c r="I105" s="303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3"/>
      <c r="V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479"/>
      <c r="AK105" s="303"/>
      <c r="AL105" s="301"/>
      <c r="AM105" s="30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5" hidden="1" customHeight="1">
      <c r="A106" s="309"/>
      <c r="B106" s="309"/>
      <c r="C106" s="309"/>
      <c r="D106" s="302"/>
      <c r="E106" s="309"/>
      <c r="F106" s="310"/>
      <c r="G106" s="310"/>
      <c r="H106" s="308"/>
      <c r="I106" s="308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8"/>
      <c r="V106" s="311"/>
      <c r="AA106" s="311"/>
      <c r="AJ106" s="480"/>
      <c r="AK106" s="312"/>
      <c r="AL106" s="309"/>
      <c r="AM106" s="313"/>
      <c r="AN106" s="305"/>
      <c r="AO106" s="306"/>
      <c r="AP106" s="307"/>
      <c r="AQ106" s="302"/>
      <c r="AR106" s="308"/>
      <c r="AS106" s="308"/>
      <c r="AT106" s="302"/>
      <c r="AU106" s="302"/>
      <c r="AV106" s="302"/>
    </row>
    <row r="107" spans="1:48" s="292" customFormat="1" ht="18" hidden="1" customHeight="1">
      <c r="A107" s="314" t="s">
        <v>12</v>
      </c>
      <c r="B107" s="314"/>
      <c r="C107" s="314"/>
      <c r="D107" s="315"/>
      <c r="E107" s="314"/>
      <c r="F107" s="316" t="s">
        <v>206</v>
      </c>
      <c r="G107" s="316"/>
      <c r="H107" s="736" t="s">
        <v>209</v>
      </c>
      <c r="I107" s="736"/>
      <c r="J107" s="736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8"/>
      <c r="V107" s="319"/>
      <c r="X107" s="303"/>
      <c r="Y107" s="316"/>
      <c r="Z107" s="316"/>
      <c r="AA107" s="320" t="s">
        <v>209</v>
      </c>
      <c r="AB107" s="316"/>
      <c r="AC107" s="316"/>
      <c r="AD107" s="316"/>
      <c r="AE107" s="316"/>
      <c r="AF107" s="316"/>
      <c r="AG107" s="316"/>
      <c r="AH107" s="316"/>
      <c r="AI107" s="316"/>
      <c r="AJ107" s="481"/>
      <c r="AK107" s="316"/>
      <c r="AL107" s="314"/>
      <c r="AM107" s="316"/>
      <c r="AN107" s="314"/>
      <c r="AO107" s="321"/>
      <c r="AP107" s="307"/>
      <c r="AQ107" s="302"/>
      <c r="AR107" s="308"/>
      <c r="AS107" s="308"/>
      <c r="AT107" s="302"/>
      <c r="AU107" s="302"/>
      <c r="AV107" s="302"/>
    </row>
    <row r="108" spans="1:48" s="62" customFormat="1" ht="18.75" hidden="1">
      <c r="A108" s="11"/>
      <c r="B108" s="11"/>
      <c r="C108" s="11"/>
      <c r="D108" s="255"/>
      <c r="E108" s="11"/>
      <c r="F108" s="322"/>
      <c r="G108" s="322"/>
      <c r="H108" s="322"/>
      <c r="I108" s="322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482"/>
      <c r="AK108" s="322"/>
      <c r="AL108" s="324"/>
      <c r="AM108" s="322"/>
      <c r="AN108" s="281"/>
      <c r="AO108" s="325"/>
      <c r="AP108" s="326"/>
      <c r="AQ108" s="643"/>
      <c r="AR108" s="255"/>
      <c r="AS108" s="255"/>
      <c r="AT108" s="643"/>
      <c r="AU108" s="643"/>
      <c r="AV108" s="643"/>
    </row>
    <row r="109" spans="1:48" s="103" customFormat="1" ht="57.75" hidden="1" customHeight="1">
      <c r="A109" s="11"/>
      <c r="B109" s="11"/>
      <c r="C109" s="11"/>
      <c r="D109" s="255"/>
      <c r="E109" s="720" t="s">
        <v>207</v>
      </c>
      <c r="F109" s="720"/>
      <c r="G109" s="32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9"/>
      <c r="W109" s="329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483"/>
      <c r="AK109" s="11"/>
      <c r="AL109" s="281"/>
      <c r="AM109" s="11"/>
      <c r="AN109" s="281"/>
      <c r="AP109" s="326"/>
      <c r="AQ109" s="643"/>
      <c r="AR109" s="255"/>
      <c r="AS109" s="255"/>
      <c r="AT109" s="643"/>
      <c r="AU109" s="643"/>
      <c r="AV109" s="643"/>
    </row>
  </sheetData>
  <mergeCells count="40">
    <mergeCell ref="D11:AV11"/>
    <mergeCell ref="E6:AT6"/>
    <mergeCell ref="D7:AV7"/>
    <mergeCell ref="D8:AV8"/>
    <mergeCell ref="D9:AV9"/>
    <mergeCell ref="D10:AV10"/>
    <mergeCell ref="E109:F10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100:F100"/>
    <mergeCell ref="H107:J107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09"/>
  <sheetViews>
    <sheetView view="pageBreakPreview" topLeftCell="C93" zoomScale="70" zoomScaleSheetLayoutView="70" workbookViewId="0">
      <selection activeCell="AV100" sqref="AV100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43"/>
      <c r="AR1" s="255"/>
      <c r="AS1" s="255"/>
      <c r="AT1" s="643"/>
      <c r="AU1" s="643"/>
      <c r="AV1" s="643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43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43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353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43"/>
      <c r="AR12" s="255"/>
      <c r="AS12" s="255"/>
      <c r="AT12" s="644"/>
      <c r="AU12" s="644"/>
      <c r="AV12" s="644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352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44"/>
      <c r="D16" s="748"/>
      <c r="E16" s="685"/>
      <c r="F16" s="685"/>
      <c r="G16" s="202"/>
      <c r="H16" s="201"/>
      <c r="I16" s="201"/>
      <c r="J16" s="241"/>
      <c r="K16" s="241"/>
      <c r="L16" s="241"/>
      <c r="M16" s="639" t="s">
        <v>77</v>
      </c>
      <c r="N16" s="639" t="s">
        <v>78</v>
      </c>
      <c r="O16" s="639" t="s">
        <v>77</v>
      </c>
      <c r="P16" s="639" t="s">
        <v>78</v>
      </c>
      <c r="Q16" s="639" t="s">
        <v>77</v>
      </c>
      <c r="R16" s="639" t="s">
        <v>78</v>
      </c>
      <c r="S16" s="639" t="s">
        <v>77</v>
      </c>
      <c r="T16" s="63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40" t="s">
        <v>77</v>
      </c>
      <c r="AE16" s="640" t="s">
        <v>78</v>
      </c>
      <c r="AF16" s="205" t="s">
        <v>77</v>
      </c>
      <c r="AG16" s="205" t="s">
        <v>78</v>
      </c>
      <c r="AH16" s="640" t="s">
        <v>77</v>
      </c>
      <c r="AI16" s="640" t="s">
        <v>78</v>
      </c>
      <c r="AJ16" s="207" t="s">
        <v>96</v>
      </c>
      <c r="AK16" s="96" t="s">
        <v>19</v>
      </c>
      <c r="AL16" s="641" t="s">
        <v>96</v>
      </c>
      <c r="AM16" s="641" t="s">
        <v>19</v>
      </c>
      <c r="AN16" s="216" t="s">
        <v>96</v>
      </c>
      <c r="AO16" s="216" t="s">
        <v>19</v>
      </c>
      <c r="AP16" s="207" t="s">
        <v>96</v>
      </c>
      <c r="AQ16" s="641" t="s">
        <v>96</v>
      </c>
      <c r="AR16" s="641" t="s">
        <v>107</v>
      </c>
      <c r="AS16" s="641" t="s">
        <v>19</v>
      </c>
      <c r="AT16" s="642" t="s">
        <v>96</v>
      </c>
      <c r="AU16" s="642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97" si="3">AQ18*AR18</f>
        <v>0</v>
      </c>
      <c r="AT18" s="233">
        <f>AV18</f>
        <v>0</v>
      </c>
      <c r="AU18" s="386">
        <f t="shared" ref="AU18:AU97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97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6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58</v>
      </c>
      <c r="AU34" s="228"/>
      <c r="AV34" s="279">
        <v>58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51" t="s">
        <v>53</v>
      </c>
      <c r="G36" s="275" t="s">
        <v>168</v>
      </c>
      <c r="H36" s="115"/>
      <c r="I36" s="115"/>
      <c r="J36" s="115"/>
      <c r="K36" s="115"/>
      <c r="L36" s="276"/>
      <c r="M36" s="277"/>
      <c r="N36" s="276"/>
      <c r="O36" s="115"/>
      <c r="P36" s="276"/>
      <c r="Q36" s="115"/>
      <c r="R36" s="276"/>
      <c r="S36" s="115"/>
      <c r="T36" s="276"/>
      <c r="U36" s="278" t="s">
        <v>268</v>
      </c>
      <c r="V36" s="115"/>
      <c r="W36" s="114"/>
      <c r="X36" s="115"/>
      <c r="Y36" s="221"/>
      <c r="Z36" s="115"/>
      <c r="AA36" s="115"/>
      <c r="AB36" s="35"/>
      <c r="AC36" s="170"/>
      <c r="AD36" s="208"/>
      <c r="AE36" s="170"/>
      <c r="AF36" s="208"/>
      <c r="AG36" s="170"/>
      <c r="AH36" s="208"/>
      <c r="AI36" s="170"/>
      <c r="AJ36" s="233">
        <v>46</v>
      </c>
      <c r="AK36" s="170"/>
      <c r="AL36" s="270"/>
      <c r="AM36" s="170"/>
      <c r="AN36" s="270"/>
      <c r="AO36" s="170"/>
      <c r="AP36" s="233"/>
      <c r="AQ36" s="233"/>
      <c r="AR36" s="170"/>
      <c r="AS36" s="170"/>
      <c r="AT36" s="233">
        <f t="shared" si="6"/>
        <v>0</v>
      </c>
      <c r="AU36" s="386"/>
      <c r="AV36" s="233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58</v>
      </c>
      <c r="AU39" s="228"/>
      <c r="AV39" s="279">
        <v>58</v>
      </c>
    </row>
    <row r="40" spans="1:48" s="62" customFormat="1" ht="26.25" customHeight="1">
      <c r="A40" s="59"/>
      <c r="B40" s="60"/>
      <c r="C40" s="60"/>
      <c r="D40" s="22"/>
      <c r="E40" s="79"/>
      <c r="F40" s="51" t="s">
        <v>43</v>
      </c>
      <c r="G40" s="275" t="s">
        <v>163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260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50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26.25" customHeight="1">
      <c r="A41" s="59"/>
      <c r="B41" s="60"/>
      <c r="C41" s="60"/>
      <c r="D41" s="22"/>
      <c r="E41" s="79"/>
      <c r="F41" s="51" t="s">
        <v>43</v>
      </c>
      <c r="G41" s="275" t="s">
        <v>163</v>
      </c>
      <c r="H41" s="115"/>
      <c r="I41" s="115"/>
      <c r="J41" s="115"/>
      <c r="K41" s="115"/>
      <c r="L41" s="276"/>
      <c r="M41" s="277"/>
      <c r="N41" s="276"/>
      <c r="O41" s="115"/>
      <c r="P41" s="276"/>
      <c r="Q41" s="115"/>
      <c r="R41" s="276"/>
      <c r="S41" s="115"/>
      <c r="T41" s="276"/>
      <c r="U41" s="278" t="s">
        <v>261</v>
      </c>
      <c r="V41" s="115"/>
      <c r="W41" s="114"/>
      <c r="X41" s="115"/>
      <c r="Y41" s="221"/>
      <c r="Z41" s="115"/>
      <c r="AA41" s="115"/>
      <c r="AB41" s="35"/>
      <c r="AC41" s="170"/>
      <c r="AD41" s="208"/>
      <c r="AE41" s="170"/>
      <c r="AF41" s="208"/>
      <c r="AG41" s="170"/>
      <c r="AH41" s="208"/>
      <c r="AI41" s="170"/>
      <c r="AJ41" s="233">
        <v>60</v>
      </c>
      <c r="AK41" s="170"/>
      <c r="AL41" s="270"/>
      <c r="AM41" s="170"/>
      <c r="AN41" s="270"/>
      <c r="AO41" s="170"/>
      <c r="AP41" s="233"/>
      <c r="AQ41" s="233"/>
      <c r="AR41" s="170"/>
      <c r="AS41" s="170"/>
      <c r="AT41" s="233">
        <f t="shared" si="6"/>
        <v>0</v>
      </c>
      <c r="AU41" s="386"/>
      <c r="AV41" s="233">
        <v>0</v>
      </c>
    </row>
    <row r="42" spans="1:48" s="62" customFormat="1" ht="26.25" customHeight="1">
      <c r="A42" s="59"/>
      <c r="B42" s="60"/>
      <c r="C42" s="60"/>
      <c r="D42" s="22"/>
      <c r="E42" s="79"/>
      <c r="F42" s="162" t="s">
        <v>43</v>
      </c>
      <c r="G42" s="222" t="s">
        <v>163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282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45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0</v>
      </c>
      <c r="AU42" s="228"/>
      <c r="AV42" s="279">
        <v>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15</v>
      </c>
      <c r="AU43" s="228"/>
      <c r="AV43" s="279">
        <v>15</v>
      </c>
    </row>
    <row r="44" spans="1:48" s="62" customFormat="1" ht="26.25" customHeight="1">
      <c r="A44" s="59"/>
      <c r="B44" s="60"/>
      <c r="C44" s="60"/>
      <c r="D44" s="22"/>
      <c r="E44" s="79"/>
      <c r="F44" s="162" t="s">
        <v>43</v>
      </c>
      <c r="G44" s="222" t="s">
        <v>163</v>
      </c>
      <c r="H44" s="193"/>
      <c r="I44" s="193"/>
      <c r="J44" s="193"/>
      <c r="K44" s="193"/>
      <c r="L44" s="243"/>
      <c r="M44" s="242"/>
      <c r="N44" s="243"/>
      <c r="O44" s="193"/>
      <c r="P44" s="243"/>
      <c r="Q44" s="193"/>
      <c r="R44" s="243"/>
      <c r="S44" s="193"/>
      <c r="T44" s="243"/>
      <c r="U44" s="203" t="s">
        <v>317</v>
      </c>
      <c r="V44" s="115"/>
      <c r="W44" s="114"/>
      <c r="X44" s="193"/>
      <c r="Y44" s="200"/>
      <c r="Z44" s="193"/>
      <c r="AA44" s="193"/>
      <c r="AB44" s="35"/>
      <c r="AC44" s="170"/>
      <c r="AD44" s="209"/>
      <c r="AE44" s="194"/>
      <c r="AF44" s="209"/>
      <c r="AG44" s="194"/>
      <c r="AH44" s="209"/>
      <c r="AI44" s="194"/>
      <c r="AJ44" s="232">
        <v>5</v>
      </c>
      <c r="AK44" s="170"/>
      <c r="AL44" s="272"/>
      <c r="AM44" s="212"/>
      <c r="AN44" s="269"/>
      <c r="AO44" s="217"/>
      <c r="AP44" s="232"/>
      <c r="AQ44" s="229"/>
      <c r="AR44" s="212"/>
      <c r="AS44" s="212"/>
      <c r="AT44" s="247">
        <f t="shared" si="6"/>
        <v>0</v>
      </c>
      <c r="AU44" s="228"/>
      <c r="AV44" s="279">
        <v>0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485" t="s">
        <v>269</v>
      </c>
      <c r="G48" s="222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03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2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47">
        <f t="shared" si="6"/>
        <v>0</v>
      </c>
      <c r="AU48" s="386">
        <f>AT48*AR48</f>
        <v>0</v>
      </c>
      <c r="AV48" s="279">
        <v>0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47">
        <f t="shared" si="6"/>
        <v>0</v>
      </c>
      <c r="AU49" s="386">
        <f t="shared" si="4"/>
        <v>0</v>
      </c>
      <c r="AV49" s="279">
        <v>0</v>
      </c>
    </row>
    <row r="50" spans="1:49" s="62" customFormat="1" ht="26.25" customHeight="1">
      <c r="A50" s="59"/>
      <c r="B50" s="60"/>
      <c r="C50" s="60"/>
      <c r="D50" s="22"/>
      <c r="E50" s="79"/>
      <c r="F50" s="485" t="s">
        <v>269</v>
      </c>
      <c r="G50" s="222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03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2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47">
        <f t="shared" si="6"/>
        <v>0</v>
      </c>
      <c r="AU50" s="386"/>
      <c r="AV50" s="279">
        <v>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20</v>
      </c>
      <c r="AU51" s="386"/>
      <c r="AV51" s="279">
        <v>20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165</v>
      </c>
      <c r="AU54" s="386"/>
      <c r="AV54" s="279">
        <v>165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230</v>
      </c>
      <c r="AU62" s="249">
        <f t="shared" si="4"/>
        <v>46501.4</v>
      </c>
      <c r="AV62" s="247">
        <v>230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137"/>
      <c r="D65" s="192"/>
      <c r="E65" s="79" t="s">
        <v>24</v>
      </c>
      <c r="F65" s="525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527" t="s">
        <v>132</v>
      </c>
      <c r="V65" s="193">
        <v>108</v>
      </c>
      <c r="W65" s="532">
        <v>43119</v>
      </c>
      <c r="X65" s="193" t="s">
        <v>131</v>
      </c>
      <c r="Y65" s="200">
        <v>43130</v>
      </c>
      <c r="Z65" s="193"/>
      <c r="AA65" s="193"/>
      <c r="AB65" s="192">
        <v>0</v>
      </c>
      <c r="AC65" s="530">
        <v>0</v>
      </c>
      <c r="AD65" s="531">
        <v>340</v>
      </c>
      <c r="AE65" s="530">
        <v>68741.2</v>
      </c>
      <c r="AF65" s="531"/>
      <c r="AG65" s="530"/>
      <c r="AH65" s="531"/>
      <c r="AI65" s="530"/>
      <c r="AJ65" s="247"/>
      <c r="AK65" s="170">
        <f t="shared" si="5"/>
        <v>68741.2</v>
      </c>
      <c r="AL65" s="272">
        <v>0</v>
      </c>
      <c r="AM65" s="212">
        <v>0</v>
      </c>
      <c r="AN65" s="269">
        <v>340</v>
      </c>
      <c r="AO65" s="217">
        <f t="shared" si="2"/>
        <v>68741.2</v>
      </c>
      <c r="AP65" s="232"/>
      <c r="AQ65" s="229"/>
      <c r="AR65" s="212">
        <v>202.18</v>
      </c>
      <c r="AS65" s="212">
        <f t="shared" si="3"/>
        <v>0</v>
      </c>
      <c r="AT65" s="247">
        <f t="shared" si="6"/>
        <v>0</v>
      </c>
      <c r="AU65" s="249">
        <f t="shared" si="4"/>
        <v>0</v>
      </c>
      <c r="AV65" s="247">
        <v>0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55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140" t="s">
        <v>55</v>
      </c>
      <c r="G79" s="222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03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2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47">
        <f t="shared" si="6"/>
        <v>0</v>
      </c>
      <c r="AU79" s="386"/>
      <c r="AV79" s="279">
        <v>0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55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60</v>
      </c>
      <c r="AU81" s="386"/>
      <c r="AV81" s="279">
        <v>60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173" t="s">
        <v>64</v>
      </c>
      <c r="G82" s="222" t="s">
        <v>140</v>
      </c>
      <c r="H82" s="193" t="s">
        <v>91</v>
      </c>
      <c r="I82" s="193" t="s">
        <v>91</v>
      </c>
      <c r="J82" s="193"/>
      <c r="K82" s="193"/>
      <c r="L82" s="243"/>
      <c r="M82" s="242">
        <f t="shared" si="0"/>
        <v>0</v>
      </c>
      <c r="N82" s="243">
        <f t="shared" si="1"/>
        <v>0</v>
      </c>
      <c r="O82" s="193"/>
      <c r="P82" s="243"/>
      <c r="Q82" s="193"/>
      <c r="R82" s="243"/>
      <c r="S82" s="193"/>
      <c r="T82" s="243"/>
      <c r="U82" s="203" t="s">
        <v>157</v>
      </c>
      <c r="V82" s="115">
        <v>605</v>
      </c>
      <c r="W82" s="114">
        <v>43193</v>
      </c>
      <c r="X82" s="193">
        <v>97</v>
      </c>
      <c r="Y82" s="200">
        <v>43202</v>
      </c>
      <c r="Z82" s="193" t="s">
        <v>158</v>
      </c>
      <c r="AA82" s="200">
        <v>43216</v>
      </c>
      <c r="AB82" s="22">
        <v>0</v>
      </c>
      <c r="AC82" s="170">
        <v>0</v>
      </c>
      <c r="AD82" s="209">
        <v>510</v>
      </c>
      <c r="AE82" s="194">
        <v>152949</v>
      </c>
      <c r="AF82" s="209"/>
      <c r="AG82" s="194"/>
      <c r="AH82" s="209"/>
      <c r="AI82" s="194"/>
      <c r="AJ82" s="232"/>
      <c r="AK82" s="170">
        <f t="shared" si="5"/>
        <v>152949</v>
      </c>
      <c r="AL82" s="272">
        <v>0</v>
      </c>
      <c r="AM82" s="212">
        <v>0</v>
      </c>
      <c r="AN82" s="269">
        <v>510</v>
      </c>
      <c r="AO82" s="217">
        <f t="shared" si="2"/>
        <v>152949</v>
      </c>
      <c r="AP82" s="232"/>
      <c r="AQ82" s="229"/>
      <c r="AR82" s="212">
        <v>299.89999999999998</v>
      </c>
      <c r="AS82" s="212">
        <f t="shared" si="3"/>
        <v>0</v>
      </c>
      <c r="AT82" s="247">
        <f t="shared" si="6"/>
        <v>0</v>
      </c>
      <c r="AU82" s="228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173" t="s">
        <v>64</v>
      </c>
      <c r="G83" s="222" t="s">
        <v>140</v>
      </c>
      <c r="H83" s="193"/>
      <c r="I83" s="193"/>
      <c r="J83" s="193"/>
      <c r="K83" s="193"/>
      <c r="L83" s="243"/>
      <c r="M83" s="242"/>
      <c r="N83" s="243"/>
      <c r="O83" s="193"/>
      <c r="P83" s="243"/>
      <c r="Q83" s="193"/>
      <c r="R83" s="243"/>
      <c r="S83" s="193"/>
      <c r="T83" s="243"/>
      <c r="U83" s="203" t="s">
        <v>244</v>
      </c>
      <c r="V83" s="115"/>
      <c r="W83" s="114"/>
      <c r="X83" s="193"/>
      <c r="Y83" s="200"/>
      <c r="Z83" s="193"/>
      <c r="AA83" s="200"/>
      <c r="AB83" s="22"/>
      <c r="AC83" s="170"/>
      <c r="AD83" s="209"/>
      <c r="AE83" s="194"/>
      <c r="AF83" s="209"/>
      <c r="AG83" s="194"/>
      <c r="AH83" s="209"/>
      <c r="AI83" s="194"/>
      <c r="AJ83" s="232"/>
      <c r="AK83" s="170"/>
      <c r="AL83" s="272"/>
      <c r="AM83" s="212"/>
      <c r="AN83" s="269"/>
      <c r="AO83" s="217"/>
      <c r="AP83" s="232"/>
      <c r="AQ83" s="229"/>
      <c r="AR83" s="212"/>
      <c r="AS83" s="212"/>
      <c r="AT83" s="247">
        <f t="shared" si="6"/>
        <v>236</v>
      </c>
      <c r="AU83" s="228"/>
      <c r="AV83" s="279">
        <v>236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264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>
        <v>224</v>
      </c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224</v>
      </c>
      <c r="AU84" s="228"/>
      <c r="AV84" s="279">
        <v>224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176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176</v>
      </c>
      <c r="AU85" s="228"/>
      <c r="AV85" s="279">
        <v>176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285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154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154</v>
      </c>
      <c r="AU86" s="228"/>
      <c r="AV86" s="279">
        <v>154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293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84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ref="AT87:AT99" si="9">AV87</f>
        <v>84</v>
      </c>
      <c r="AU87" s="228"/>
      <c r="AV87" s="279">
        <v>84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48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9"/>
        <v>48</v>
      </c>
      <c r="AU88" s="228"/>
      <c r="AV88" s="279">
        <v>48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323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36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36</v>
      </c>
      <c r="AU89" s="228"/>
      <c r="AV89" s="279">
        <v>36</v>
      </c>
    </row>
    <row r="90" spans="1:48" s="62" customFormat="1" ht="31.5">
      <c r="A90" s="59"/>
      <c r="B90" s="60"/>
      <c r="C90" s="60"/>
      <c r="D90" s="22"/>
      <c r="E90" s="79"/>
      <c r="F90" s="51" t="s">
        <v>57</v>
      </c>
      <c r="G90" s="275" t="s">
        <v>121</v>
      </c>
      <c r="H90" s="115"/>
      <c r="I90" s="115"/>
      <c r="J90" s="115"/>
      <c r="K90" s="115"/>
      <c r="L90" s="276"/>
      <c r="M90" s="277"/>
      <c r="N90" s="276"/>
      <c r="O90" s="115"/>
      <c r="P90" s="276"/>
      <c r="Q90" s="115"/>
      <c r="R90" s="276"/>
      <c r="S90" s="115"/>
      <c r="T90" s="276"/>
      <c r="U90" s="278" t="s">
        <v>266</v>
      </c>
      <c r="V90" s="115"/>
      <c r="W90" s="114"/>
      <c r="X90" s="115"/>
      <c r="Y90" s="221"/>
      <c r="Z90" s="115"/>
      <c r="AA90" s="221"/>
      <c r="AB90" s="22"/>
      <c r="AC90" s="170"/>
      <c r="AD90" s="208"/>
      <c r="AE90" s="170"/>
      <c r="AF90" s="208"/>
      <c r="AG90" s="170"/>
      <c r="AH90" s="208"/>
      <c r="AI90" s="170"/>
      <c r="AJ90" s="233">
        <v>766</v>
      </c>
      <c r="AK90" s="170"/>
      <c r="AL90" s="270"/>
      <c r="AM90" s="170"/>
      <c r="AN90" s="270"/>
      <c r="AO90" s="170"/>
      <c r="AP90" s="233"/>
      <c r="AQ90" s="233"/>
      <c r="AR90" s="170"/>
      <c r="AS90" s="170"/>
      <c r="AT90" s="233">
        <f t="shared" si="9"/>
        <v>0</v>
      </c>
      <c r="AU90" s="386"/>
      <c r="AV90" s="233">
        <v>0</v>
      </c>
    </row>
    <row r="91" spans="1:48" s="62" customFormat="1" ht="31.5">
      <c r="A91" s="59"/>
      <c r="B91" s="60"/>
      <c r="C91" s="60"/>
      <c r="D91" s="22"/>
      <c r="E91" s="79"/>
      <c r="F91" s="51" t="s">
        <v>57</v>
      </c>
      <c r="G91" s="275" t="s">
        <v>121</v>
      </c>
      <c r="H91" s="115"/>
      <c r="I91" s="115"/>
      <c r="J91" s="115"/>
      <c r="K91" s="115"/>
      <c r="L91" s="276"/>
      <c r="M91" s="277"/>
      <c r="N91" s="276"/>
      <c r="O91" s="115"/>
      <c r="P91" s="276"/>
      <c r="Q91" s="115"/>
      <c r="R91" s="276"/>
      <c r="S91" s="115"/>
      <c r="T91" s="276"/>
      <c r="U91" s="278" t="s">
        <v>266</v>
      </c>
      <c r="V91" s="115"/>
      <c r="W91" s="114"/>
      <c r="X91" s="115"/>
      <c r="Y91" s="221"/>
      <c r="Z91" s="115"/>
      <c r="AA91" s="221"/>
      <c r="AB91" s="22"/>
      <c r="AC91" s="170"/>
      <c r="AD91" s="208"/>
      <c r="AE91" s="170"/>
      <c r="AF91" s="208"/>
      <c r="AG91" s="170"/>
      <c r="AH91" s="208"/>
      <c r="AI91" s="170"/>
      <c r="AJ91" s="233">
        <v>450</v>
      </c>
      <c r="AK91" s="170"/>
      <c r="AL91" s="270"/>
      <c r="AM91" s="170"/>
      <c r="AN91" s="270"/>
      <c r="AO91" s="170"/>
      <c r="AP91" s="233"/>
      <c r="AQ91" s="233"/>
      <c r="AR91" s="170"/>
      <c r="AS91" s="170"/>
      <c r="AT91" s="233">
        <f t="shared" si="9"/>
        <v>0</v>
      </c>
      <c r="AU91" s="386"/>
      <c r="AV91" s="233">
        <v>0</v>
      </c>
    </row>
    <row r="92" spans="1:48" s="62" customFormat="1" ht="31.5">
      <c r="A92" s="59"/>
      <c r="B92" s="60"/>
      <c r="C92" s="60"/>
      <c r="D92" s="22"/>
      <c r="E92" s="79"/>
      <c r="F92" s="51" t="s">
        <v>57</v>
      </c>
      <c r="G92" s="275" t="s">
        <v>279</v>
      </c>
      <c r="H92" s="115"/>
      <c r="I92" s="115"/>
      <c r="J92" s="115"/>
      <c r="K92" s="115"/>
      <c r="L92" s="276"/>
      <c r="M92" s="277"/>
      <c r="N92" s="276"/>
      <c r="O92" s="115"/>
      <c r="P92" s="276"/>
      <c r="Q92" s="115"/>
      <c r="R92" s="276"/>
      <c r="S92" s="115"/>
      <c r="T92" s="276"/>
      <c r="U92" s="278" t="s">
        <v>266</v>
      </c>
      <c r="V92" s="115"/>
      <c r="W92" s="114"/>
      <c r="X92" s="115"/>
      <c r="Y92" s="221"/>
      <c r="Z92" s="115"/>
      <c r="AA92" s="221"/>
      <c r="AB92" s="22"/>
      <c r="AC92" s="170"/>
      <c r="AD92" s="208"/>
      <c r="AE92" s="170"/>
      <c r="AF92" s="208"/>
      <c r="AG92" s="170"/>
      <c r="AH92" s="208"/>
      <c r="AI92" s="170"/>
      <c r="AJ92" s="233">
        <v>610</v>
      </c>
      <c r="AK92" s="170"/>
      <c r="AL92" s="270"/>
      <c r="AM92" s="170"/>
      <c r="AN92" s="270"/>
      <c r="AO92" s="170"/>
      <c r="AP92" s="233"/>
      <c r="AQ92" s="233"/>
      <c r="AR92" s="170"/>
      <c r="AS92" s="170"/>
      <c r="AT92" s="233">
        <f t="shared" si="9"/>
        <v>0</v>
      </c>
      <c r="AU92" s="386"/>
      <c r="AV92" s="233">
        <v>0</v>
      </c>
    </row>
    <row r="93" spans="1:48" s="62" customFormat="1" ht="31.5">
      <c r="A93" s="59"/>
      <c r="B93" s="60"/>
      <c r="C93" s="60"/>
      <c r="D93" s="22"/>
      <c r="E93" s="79"/>
      <c r="F93" s="51" t="s">
        <v>57</v>
      </c>
      <c r="G93" s="275" t="s">
        <v>279</v>
      </c>
      <c r="H93" s="115"/>
      <c r="I93" s="115"/>
      <c r="J93" s="115"/>
      <c r="K93" s="115"/>
      <c r="L93" s="276"/>
      <c r="M93" s="277"/>
      <c r="N93" s="276"/>
      <c r="O93" s="115"/>
      <c r="P93" s="276"/>
      <c r="Q93" s="115"/>
      <c r="R93" s="276"/>
      <c r="S93" s="115"/>
      <c r="T93" s="276"/>
      <c r="U93" s="278" t="s">
        <v>284</v>
      </c>
      <c r="V93" s="115"/>
      <c r="W93" s="114"/>
      <c r="X93" s="115"/>
      <c r="Y93" s="221"/>
      <c r="Z93" s="115"/>
      <c r="AA93" s="221"/>
      <c r="AB93" s="22"/>
      <c r="AC93" s="170"/>
      <c r="AD93" s="208"/>
      <c r="AE93" s="170"/>
      <c r="AF93" s="208"/>
      <c r="AG93" s="170"/>
      <c r="AH93" s="208"/>
      <c r="AI93" s="170"/>
      <c r="AJ93" s="233">
        <v>723</v>
      </c>
      <c r="AK93" s="170"/>
      <c r="AL93" s="270"/>
      <c r="AM93" s="170"/>
      <c r="AN93" s="270"/>
      <c r="AO93" s="170"/>
      <c r="AP93" s="233"/>
      <c r="AQ93" s="233"/>
      <c r="AR93" s="170"/>
      <c r="AS93" s="170"/>
      <c r="AT93" s="233">
        <f t="shared" si="9"/>
        <v>0</v>
      </c>
      <c r="AU93" s="386"/>
      <c r="AV93" s="233">
        <v>0</v>
      </c>
    </row>
    <row r="94" spans="1:48" s="62" customFormat="1" ht="31.5">
      <c r="A94" s="59"/>
      <c r="B94" s="60"/>
      <c r="C94" s="60"/>
      <c r="D94" s="22"/>
      <c r="E94" s="79"/>
      <c r="F94" s="150" t="s">
        <v>57</v>
      </c>
      <c r="G94" s="222" t="s">
        <v>279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311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724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0</v>
      </c>
      <c r="AU94" s="228"/>
      <c r="AV94" s="279">
        <v>0</v>
      </c>
    </row>
    <row r="95" spans="1:48" s="62" customFormat="1" ht="31.5">
      <c r="A95" s="59"/>
      <c r="B95" s="60"/>
      <c r="C95" s="60"/>
      <c r="D95" s="22"/>
      <c r="E95" s="79"/>
      <c r="F95" s="150" t="s">
        <v>57</v>
      </c>
      <c r="G95" s="222" t="s">
        <v>279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311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726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499</v>
      </c>
      <c r="AU95" s="228"/>
      <c r="AV95" s="279">
        <v>499</v>
      </c>
    </row>
    <row r="96" spans="1:48" s="62" customFormat="1" ht="26.25" customHeight="1">
      <c r="A96" s="59"/>
      <c r="B96" s="60"/>
      <c r="C96" s="60"/>
      <c r="D96" s="22"/>
      <c r="E96" s="79" t="s">
        <v>24</v>
      </c>
      <c r="F96" s="161" t="s">
        <v>61</v>
      </c>
      <c r="G96" s="222" t="s">
        <v>127</v>
      </c>
      <c r="H96" s="193" t="s">
        <v>91</v>
      </c>
      <c r="I96" s="193" t="s">
        <v>91</v>
      </c>
      <c r="J96" s="193">
        <v>48</v>
      </c>
      <c r="K96" s="193">
        <v>3</v>
      </c>
      <c r="L96" s="243">
        <v>71.97</v>
      </c>
      <c r="M96" s="242">
        <f t="shared" ref="M96:M97" si="10">J96*K96</f>
        <v>144</v>
      </c>
      <c r="N96" s="243">
        <f t="shared" ref="N96:N97" si="11">L96*M96</f>
        <v>10363.68</v>
      </c>
      <c r="O96" s="193">
        <v>14</v>
      </c>
      <c r="P96" s="243">
        <v>714.98</v>
      </c>
      <c r="Q96" s="193"/>
      <c r="R96" s="243"/>
      <c r="S96" s="193"/>
      <c r="T96" s="243"/>
      <c r="U96" s="203" t="s">
        <v>128</v>
      </c>
      <c r="V96" s="115">
        <v>135</v>
      </c>
      <c r="W96" s="114">
        <v>42761</v>
      </c>
      <c r="X96" s="193" t="s">
        <v>126</v>
      </c>
      <c r="Y96" s="200">
        <v>43130</v>
      </c>
      <c r="Z96" s="193"/>
      <c r="AA96" s="193"/>
      <c r="AB96" s="22">
        <v>0</v>
      </c>
      <c r="AC96" s="170">
        <v>0</v>
      </c>
      <c r="AD96" s="209">
        <v>14</v>
      </c>
      <c r="AE96" s="194">
        <v>774.48</v>
      </c>
      <c r="AF96" s="209"/>
      <c r="AG96" s="194"/>
      <c r="AH96" s="209"/>
      <c r="AI96" s="194"/>
      <c r="AJ96" s="232"/>
      <c r="AK96" s="170">
        <f t="shared" si="5"/>
        <v>774.48</v>
      </c>
      <c r="AL96" s="272">
        <v>0</v>
      </c>
      <c r="AM96" s="212">
        <v>0</v>
      </c>
      <c r="AN96" s="269">
        <v>14</v>
      </c>
      <c r="AO96" s="217">
        <f t="shared" ref="AO96:AO97" si="12">AC96+AK96-AM96</f>
        <v>774.48</v>
      </c>
      <c r="AP96" s="232"/>
      <c r="AQ96" s="229"/>
      <c r="AR96" s="212">
        <v>55.32</v>
      </c>
      <c r="AS96" s="212">
        <f t="shared" si="3"/>
        <v>0</v>
      </c>
      <c r="AT96" s="247">
        <f t="shared" si="9"/>
        <v>8</v>
      </c>
      <c r="AU96" s="228">
        <f t="shared" si="4"/>
        <v>442.56</v>
      </c>
      <c r="AV96" s="279">
        <v>8</v>
      </c>
    </row>
    <row r="97" spans="1:48" s="62" customFormat="1" ht="26.25" customHeight="1">
      <c r="A97" s="59"/>
      <c r="B97" s="60"/>
      <c r="C97" s="60"/>
      <c r="D97" s="22"/>
      <c r="E97" s="79" t="s">
        <v>24</v>
      </c>
      <c r="F97" s="161" t="s">
        <v>61</v>
      </c>
      <c r="G97" s="222" t="s">
        <v>127</v>
      </c>
      <c r="H97" s="193" t="s">
        <v>91</v>
      </c>
      <c r="I97" s="193" t="s">
        <v>91</v>
      </c>
      <c r="J97" s="193"/>
      <c r="K97" s="193"/>
      <c r="L97" s="243"/>
      <c r="M97" s="242">
        <f t="shared" si="10"/>
        <v>0</v>
      </c>
      <c r="N97" s="243">
        <f t="shared" si="11"/>
        <v>0</v>
      </c>
      <c r="O97" s="193"/>
      <c r="P97" s="243"/>
      <c r="Q97" s="193"/>
      <c r="R97" s="243"/>
      <c r="S97" s="193"/>
      <c r="T97" s="243"/>
      <c r="U97" s="203" t="s">
        <v>171</v>
      </c>
      <c r="V97" s="115">
        <v>834</v>
      </c>
      <c r="W97" s="114">
        <v>43222</v>
      </c>
      <c r="X97" s="193" t="s">
        <v>162</v>
      </c>
      <c r="Y97" s="200">
        <v>43242</v>
      </c>
      <c r="Z97" s="193"/>
      <c r="AA97" s="193"/>
      <c r="AB97" s="22">
        <v>0</v>
      </c>
      <c r="AC97" s="170">
        <v>0</v>
      </c>
      <c r="AD97" s="209">
        <v>26</v>
      </c>
      <c r="AE97" s="194">
        <v>1438.32</v>
      </c>
      <c r="AF97" s="209"/>
      <c r="AG97" s="194"/>
      <c r="AH97" s="209"/>
      <c r="AI97" s="194"/>
      <c r="AJ97" s="232"/>
      <c r="AK97" s="170">
        <f t="shared" si="5"/>
        <v>1438.32</v>
      </c>
      <c r="AL97" s="272">
        <v>0</v>
      </c>
      <c r="AM97" s="212">
        <v>0</v>
      </c>
      <c r="AN97" s="269">
        <v>26</v>
      </c>
      <c r="AO97" s="217">
        <f t="shared" si="12"/>
        <v>1438.32</v>
      </c>
      <c r="AP97" s="232"/>
      <c r="AQ97" s="229"/>
      <c r="AR97" s="212">
        <v>55.32</v>
      </c>
      <c r="AS97" s="212">
        <f t="shared" si="3"/>
        <v>0</v>
      </c>
      <c r="AT97" s="247">
        <f t="shared" si="9"/>
        <v>26</v>
      </c>
      <c r="AU97" s="228">
        <f t="shared" si="4"/>
        <v>1438.32</v>
      </c>
      <c r="AV97" s="279">
        <v>26</v>
      </c>
    </row>
    <row r="98" spans="1:48" s="62" customFormat="1" ht="38.25">
      <c r="A98" s="59"/>
      <c r="B98" s="60"/>
      <c r="C98" s="60"/>
      <c r="D98" s="22"/>
      <c r="E98" s="79"/>
      <c r="F98" s="632" t="s">
        <v>339</v>
      </c>
      <c r="G98" s="222" t="s">
        <v>340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07" t="s">
        <v>341</v>
      </c>
      <c r="V98" s="608"/>
      <c r="W98" s="609"/>
      <c r="X98" s="610"/>
      <c r="Y98" s="611"/>
      <c r="Z98" s="610"/>
      <c r="AA98" s="610"/>
      <c r="AB98" s="22"/>
      <c r="AC98" s="170"/>
      <c r="AD98" s="209"/>
      <c r="AE98" s="194"/>
      <c r="AF98" s="209"/>
      <c r="AG98" s="194"/>
      <c r="AH98" s="209"/>
      <c r="AI98" s="194"/>
      <c r="AJ98" s="232">
        <v>37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37</v>
      </c>
      <c r="AU98" s="228"/>
      <c r="AV98" s="279">
        <v>37</v>
      </c>
    </row>
    <row r="99" spans="1:48" s="62" customFormat="1" ht="38.25">
      <c r="A99" s="59"/>
      <c r="B99" s="60"/>
      <c r="C99" s="60"/>
      <c r="D99" s="22"/>
      <c r="E99" s="79"/>
      <c r="F99" s="632" t="s">
        <v>339</v>
      </c>
      <c r="G99" s="222" t="s">
        <v>340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07" t="s">
        <v>345</v>
      </c>
      <c r="V99" s="608"/>
      <c r="W99" s="609"/>
      <c r="X99" s="610"/>
      <c r="Y99" s="611"/>
      <c r="Z99" s="610"/>
      <c r="AA99" s="610"/>
      <c r="AB99" s="22"/>
      <c r="AC99" s="170"/>
      <c r="AD99" s="209"/>
      <c r="AE99" s="194"/>
      <c r="AF99" s="209"/>
      <c r="AG99" s="194"/>
      <c r="AH99" s="209"/>
      <c r="AI99" s="194"/>
      <c r="AJ99" s="232">
        <v>36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36</v>
      </c>
      <c r="AU99" s="228"/>
      <c r="AV99" s="279">
        <v>36</v>
      </c>
    </row>
    <row r="100" spans="1:48" s="251" customFormat="1" ht="21" customHeight="1">
      <c r="A100" s="20" t="s">
        <v>11</v>
      </c>
      <c r="B100" s="20"/>
      <c r="C100" s="20"/>
      <c r="D100" s="695" t="s">
        <v>34</v>
      </c>
      <c r="E100" s="696"/>
      <c r="F100" s="697"/>
      <c r="G100" s="246"/>
      <c r="H100" s="246"/>
      <c r="I100" s="246"/>
      <c r="J100" s="246"/>
      <c r="K100" s="247">
        <f>SUM(K17:K97)</f>
        <v>24</v>
      </c>
      <c r="L100" s="248"/>
      <c r="M100" s="246"/>
      <c r="N100" s="249">
        <f>SUM(N17:N97)</f>
        <v>2156307.44</v>
      </c>
      <c r="O100" s="248"/>
      <c r="P100" s="249">
        <f>SUM(P17:P97)</f>
        <v>1298976.4000000001</v>
      </c>
      <c r="Q100" s="248"/>
      <c r="R100" s="249">
        <f>SUM(R17:R97)</f>
        <v>928054.79999999993</v>
      </c>
      <c r="S100" s="248"/>
      <c r="T100" s="249">
        <f>SUM(T17:T97)</f>
        <v>466648.98</v>
      </c>
      <c r="U100" s="291" t="s">
        <v>156</v>
      </c>
      <c r="V100" s="291" t="s">
        <v>156</v>
      </c>
      <c r="W100" s="291" t="s">
        <v>156</v>
      </c>
      <c r="X100" s="250" t="s">
        <v>156</v>
      </c>
      <c r="Y100" s="250" t="s">
        <v>156</v>
      </c>
      <c r="Z100" s="250" t="s">
        <v>156</v>
      </c>
      <c r="AA100" s="250" t="s">
        <v>156</v>
      </c>
      <c r="AB100" s="176">
        <f>SUM(AB17:AB48)</f>
        <v>140</v>
      </c>
      <c r="AC100" s="171">
        <f>SUM(AC17:AC76)</f>
        <v>77947.959999999992</v>
      </c>
      <c r="AD100" s="210">
        <f t="shared" ref="AD100:AQ100" si="13">SUM(AD17:AD97)</f>
        <v>4914</v>
      </c>
      <c r="AE100" s="195">
        <f t="shared" si="13"/>
        <v>1078752.51</v>
      </c>
      <c r="AF100" s="210">
        <f t="shared" si="13"/>
        <v>0</v>
      </c>
      <c r="AG100" s="195">
        <f t="shared" si="13"/>
        <v>0</v>
      </c>
      <c r="AH100" s="210">
        <f t="shared" si="13"/>
        <v>0</v>
      </c>
      <c r="AI100" s="195">
        <f t="shared" si="13"/>
        <v>0</v>
      </c>
      <c r="AJ100" s="210">
        <f>SUM(AJ17:AJ99)</f>
        <v>8492</v>
      </c>
      <c r="AK100" s="175">
        <f t="shared" si="13"/>
        <v>1078752.51</v>
      </c>
      <c r="AL100" s="213">
        <f t="shared" si="13"/>
        <v>742</v>
      </c>
      <c r="AM100" s="214">
        <f t="shared" si="13"/>
        <v>175808.55000000005</v>
      </c>
      <c r="AN100" s="218">
        <f t="shared" si="13"/>
        <v>4312</v>
      </c>
      <c r="AO100" s="219">
        <f t="shared" si="13"/>
        <v>964298.99000000011</v>
      </c>
      <c r="AP100" s="286">
        <f t="shared" si="13"/>
        <v>0</v>
      </c>
      <c r="AQ100" s="287">
        <f t="shared" si="13"/>
        <v>0</v>
      </c>
      <c r="AR100" s="226" t="s">
        <v>156</v>
      </c>
      <c r="AS100" s="226">
        <f>SUM(AS17:AS97)</f>
        <v>0</v>
      </c>
      <c r="AT100" s="227">
        <f>SUM(AT17:AT99)</f>
        <v>5110</v>
      </c>
      <c r="AU100" s="228">
        <f>SUM(AU17:AU97)</f>
        <v>291057.28000000003</v>
      </c>
      <c r="AV100" s="510">
        <f>SUM(AV17:AV99)</f>
        <v>5110</v>
      </c>
    </row>
    <row r="101" spans="1:48" s="336" customFormat="1" ht="21" customHeight="1">
      <c r="A101" s="20"/>
      <c r="B101" s="20"/>
      <c r="C101" s="20"/>
      <c r="D101" s="294"/>
      <c r="E101" s="294"/>
      <c r="F101" s="294"/>
      <c r="G101" s="330"/>
      <c r="H101" s="330"/>
      <c r="I101" s="330"/>
      <c r="J101" s="330"/>
      <c r="K101" s="331"/>
      <c r="L101" s="332"/>
      <c r="M101" s="330"/>
      <c r="N101" s="333"/>
      <c r="O101" s="332"/>
      <c r="P101" s="333"/>
      <c r="Q101" s="332"/>
      <c r="R101" s="333"/>
      <c r="S101" s="332"/>
      <c r="T101" s="333"/>
      <c r="U101" s="295"/>
      <c r="V101" s="295"/>
      <c r="W101" s="295"/>
      <c r="X101" s="295"/>
      <c r="Y101" s="295"/>
      <c r="Z101" s="295"/>
      <c r="AA101" s="295"/>
      <c r="AB101" s="296"/>
      <c r="AC101" s="297"/>
      <c r="AD101" s="296"/>
      <c r="AE101" s="297"/>
      <c r="AF101" s="296"/>
      <c r="AG101" s="297"/>
      <c r="AH101" s="296"/>
      <c r="AI101" s="297"/>
      <c r="AJ101" s="478"/>
      <c r="AK101" s="299"/>
      <c r="AL101" s="334"/>
      <c r="AM101" s="297"/>
      <c r="AN101" s="296"/>
      <c r="AO101" s="297"/>
      <c r="AP101" s="298"/>
      <c r="AQ101" s="335"/>
      <c r="AR101" s="333"/>
      <c r="AS101" s="333"/>
      <c r="AT101" s="331"/>
      <c r="AU101" s="333"/>
      <c r="AV101" s="331"/>
    </row>
    <row r="102" spans="1:48" s="336" customFormat="1" ht="21" hidden="1" customHeight="1">
      <c r="A102" s="20"/>
      <c r="B102" s="20"/>
      <c r="C102" s="20"/>
      <c r="D102" s="294"/>
      <c r="E102" s="294"/>
      <c r="F102" s="294"/>
      <c r="G102" s="330"/>
      <c r="H102" s="330"/>
      <c r="I102" s="330"/>
      <c r="J102" s="330"/>
      <c r="K102" s="331"/>
      <c r="L102" s="332"/>
      <c r="M102" s="330"/>
      <c r="N102" s="333"/>
      <c r="O102" s="332"/>
      <c r="P102" s="333"/>
      <c r="Q102" s="332"/>
      <c r="R102" s="333"/>
      <c r="S102" s="332"/>
      <c r="T102" s="333"/>
      <c r="U102" s="295"/>
      <c r="V102" s="295"/>
      <c r="W102" s="295"/>
      <c r="X102" s="295"/>
      <c r="Y102" s="295"/>
      <c r="Z102" s="295"/>
      <c r="AA102" s="295"/>
      <c r="AB102" s="296"/>
      <c r="AC102" s="297"/>
      <c r="AD102" s="296"/>
      <c r="AE102" s="297"/>
      <c r="AF102" s="296"/>
      <c r="AG102" s="297"/>
      <c r="AH102" s="296"/>
      <c r="AI102" s="297"/>
      <c r="AJ102" s="478"/>
      <c r="AK102" s="299"/>
      <c r="AL102" s="334"/>
      <c r="AM102" s="297"/>
      <c r="AN102" s="296"/>
      <c r="AO102" s="297"/>
      <c r="AP102" s="298"/>
      <c r="AQ102" s="335"/>
      <c r="AR102" s="333"/>
      <c r="AS102" s="333"/>
      <c r="AT102" s="331"/>
      <c r="AU102" s="333"/>
      <c r="AV102" s="331"/>
    </row>
    <row r="103" spans="1:48" s="292" customFormat="1" ht="20.25" hidden="1">
      <c r="A103" s="301"/>
      <c r="B103" s="301"/>
      <c r="C103" s="301"/>
      <c r="D103" s="302"/>
      <c r="E103" s="301"/>
      <c r="F103" s="303" t="s">
        <v>205</v>
      </c>
      <c r="G103" s="303"/>
      <c r="H103" s="303" t="s">
        <v>208</v>
      </c>
      <c r="I103" s="303"/>
      <c r="J103" s="304"/>
      <c r="K103" s="304"/>
      <c r="L103" s="304"/>
      <c r="M103" s="304"/>
      <c r="N103" s="304"/>
      <c r="O103" s="304"/>
      <c r="P103" s="304"/>
      <c r="Q103" s="304"/>
      <c r="R103" s="304"/>
      <c r="S103" s="304"/>
      <c r="T103" s="304"/>
      <c r="U103" s="303"/>
      <c r="V103" s="303"/>
      <c r="X103" s="303"/>
      <c r="Y103" s="303"/>
      <c r="Z103" s="303"/>
      <c r="AA103" s="303" t="s">
        <v>208</v>
      </c>
      <c r="AB103" s="303"/>
      <c r="AC103" s="303"/>
      <c r="AD103" s="303"/>
      <c r="AE103" s="303"/>
      <c r="AF103" s="303"/>
      <c r="AG103" s="303"/>
      <c r="AH103" s="303"/>
      <c r="AI103" s="303"/>
      <c r="AJ103" s="479"/>
      <c r="AK103" s="303"/>
      <c r="AL103" s="301"/>
      <c r="AM103" s="303"/>
      <c r="AN103" s="305"/>
      <c r="AO103" s="306"/>
      <c r="AP103" s="307"/>
      <c r="AQ103" s="302"/>
      <c r="AR103" s="308"/>
      <c r="AS103" s="308"/>
      <c r="AT103" s="302"/>
      <c r="AU103" s="302"/>
      <c r="AV103" s="302"/>
    </row>
    <row r="104" spans="1:48" s="292" customFormat="1" ht="20.25" hidden="1">
      <c r="A104" s="301"/>
      <c r="B104" s="301"/>
      <c r="C104" s="301"/>
      <c r="D104" s="302"/>
      <c r="E104" s="301"/>
      <c r="F104" s="303"/>
      <c r="G104" s="303"/>
      <c r="H104" s="303"/>
      <c r="I104" s="303"/>
      <c r="J104" s="304"/>
      <c r="K104" s="304"/>
      <c r="L104" s="304"/>
      <c r="M104" s="304"/>
      <c r="N104" s="304"/>
      <c r="O104" s="304"/>
      <c r="P104" s="304"/>
      <c r="Q104" s="304"/>
      <c r="R104" s="304"/>
      <c r="S104" s="304"/>
      <c r="T104" s="304"/>
      <c r="U104" s="303"/>
      <c r="V104" s="303"/>
      <c r="X104" s="303"/>
      <c r="Y104" s="303"/>
      <c r="Z104" s="303"/>
      <c r="AA104" s="303"/>
      <c r="AB104" s="303"/>
      <c r="AC104" s="303"/>
      <c r="AD104" s="303"/>
      <c r="AE104" s="303"/>
      <c r="AF104" s="303"/>
      <c r="AG104" s="303"/>
      <c r="AH104" s="303"/>
      <c r="AI104" s="303"/>
      <c r="AJ104" s="479"/>
      <c r="AK104" s="303"/>
      <c r="AL104" s="301"/>
      <c r="AM104" s="303"/>
      <c r="AN104" s="305"/>
      <c r="AO104" s="306"/>
      <c r="AP104" s="307"/>
      <c r="AQ104" s="302"/>
      <c r="AR104" s="308"/>
      <c r="AS104" s="308"/>
      <c r="AT104" s="302"/>
      <c r="AU104" s="302"/>
      <c r="AV104" s="302"/>
    </row>
    <row r="105" spans="1:48" s="292" customFormat="1" ht="20.25" hidden="1">
      <c r="A105" s="301"/>
      <c r="B105" s="301"/>
      <c r="C105" s="301"/>
      <c r="D105" s="302"/>
      <c r="E105" s="301"/>
      <c r="F105" s="303"/>
      <c r="G105" s="303"/>
      <c r="H105" s="303"/>
      <c r="I105" s="303"/>
      <c r="J105" s="304"/>
      <c r="K105" s="304"/>
      <c r="L105" s="304"/>
      <c r="M105" s="304"/>
      <c r="N105" s="304"/>
      <c r="O105" s="304"/>
      <c r="P105" s="304"/>
      <c r="Q105" s="304"/>
      <c r="R105" s="304"/>
      <c r="S105" s="304"/>
      <c r="T105" s="304"/>
      <c r="U105" s="303"/>
      <c r="V105" s="303"/>
      <c r="X105" s="303"/>
      <c r="Y105" s="303"/>
      <c r="Z105" s="303"/>
      <c r="AA105" s="303"/>
      <c r="AB105" s="303"/>
      <c r="AC105" s="303"/>
      <c r="AD105" s="303"/>
      <c r="AE105" s="303"/>
      <c r="AF105" s="303"/>
      <c r="AG105" s="303"/>
      <c r="AH105" s="303"/>
      <c r="AI105" s="303"/>
      <c r="AJ105" s="479"/>
      <c r="AK105" s="303"/>
      <c r="AL105" s="301"/>
      <c r="AM105" s="303"/>
      <c r="AN105" s="305"/>
      <c r="AO105" s="306"/>
      <c r="AP105" s="307"/>
      <c r="AQ105" s="302"/>
      <c r="AR105" s="308"/>
      <c r="AS105" s="308"/>
      <c r="AT105" s="302"/>
      <c r="AU105" s="302"/>
      <c r="AV105" s="302"/>
    </row>
    <row r="106" spans="1:48" s="292" customFormat="1" ht="15" hidden="1" customHeight="1">
      <c r="A106" s="309"/>
      <c r="B106" s="309"/>
      <c r="C106" s="309"/>
      <c r="D106" s="302"/>
      <c r="E106" s="309"/>
      <c r="F106" s="310"/>
      <c r="G106" s="310"/>
      <c r="H106" s="308"/>
      <c r="I106" s="308"/>
      <c r="J106" s="304"/>
      <c r="K106" s="304"/>
      <c r="L106" s="304"/>
      <c r="M106" s="304"/>
      <c r="N106" s="304"/>
      <c r="O106" s="304"/>
      <c r="P106" s="304"/>
      <c r="Q106" s="304"/>
      <c r="R106" s="304"/>
      <c r="S106" s="304"/>
      <c r="T106" s="304"/>
      <c r="U106" s="308"/>
      <c r="V106" s="311"/>
      <c r="AA106" s="311"/>
      <c r="AJ106" s="480"/>
      <c r="AK106" s="312"/>
      <c r="AL106" s="309"/>
      <c r="AM106" s="313"/>
      <c r="AN106" s="305"/>
      <c r="AO106" s="306"/>
      <c r="AP106" s="307"/>
      <c r="AQ106" s="302"/>
      <c r="AR106" s="308"/>
      <c r="AS106" s="308"/>
      <c r="AT106" s="302"/>
      <c r="AU106" s="302"/>
      <c r="AV106" s="302"/>
    </row>
    <row r="107" spans="1:48" s="292" customFormat="1" ht="18" hidden="1" customHeight="1">
      <c r="A107" s="314" t="s">
        <v>12</v>
      </c>
      <c r="B107" s="314"/>
      <c r="C107" s="314"/>
      <c r="D107" s="315"/>
      <c r="E107" s="314"/>
      <c r="F107" s="316" t="s">
        <v>206</v>
      </c>
      <c r="G107" s="316"/>
      <c r="H107" s="736" t="s">
        <v>209</v>
      </c>
      <c r="I107" s="736"/>
      <c r="J107" s="736"/>
      <c r="K107" s="317"/>
      <c r="L107" s="317"/>
      <c r="M107" s="317"/>
      <c r="N107" s="317"/>
      <c r="O107" s="317"/>
      <c r="P107" s="317"/>
      <c r="Q107" s="317"/>
      <c r="R107" s="317"/>
      <c r="S107" s="317"/>
      <c r="T107" s="317"/>
      <c r="U107" s="318"/>
      <c r="V107" s="319"/>
      <c r="X107" s="303"/>
      <c r="Y107" s="316"/>
      <c r="Z107" s="316"/>
      <c r="AA107" s="320" t="s">
        <v>209</v>
      </c>
      <c r="AB107" s="316"/>
      <c r="AC107" s="316"/>
      <c r="AD107" s="316"/>
      <c r="AE107" s="316"/>
      <c r="AF107" s="316"/>
      <c r="AG107" s="316"/>
      <c r="AH107" s="316"/>
      <c r="AI107" s="316"/>
      <c r="AJ107" s="481"/>
      <c r="AK107" s="316"/>
      <c r="AL107" s="314"/>
      <c r="AM107" s="316"/>
      <c r="AN107" s="314"/>
      <c r="AO107" s="321"/>
      <c r="AP107" s="307"/>
      <c r="AQ107" s="302"/>
      <c r="AR107" s="308"/>
      <c r="AS107" s="308"/>
      <c r="AT107" s="302"/>
      <c r="AU107" s="302"/>
      <c r="AV107" s="302"/>
    </row>
    <row r="108" spans="1:48" s="62" customFormat="1" ht="18.75" hidden="1">
      <c r="A108" s="11"/>
      <c r="B108" s="11"/>
      <c r="C108" s="11"/>
      <c r="D108" s="255"/>
      <c r="E108" s="11"/>
      <c r="F108" s="322"/>
      <c r="G108" s="322"/>
      <c r="H108" s="322"/>
      <c r="I108" s="322"/>
      <c r="J108" s="323"/>
      <c r="K108" s="323"/>
      <c r="L108" s="323"/>
      <c r="M108" s="323"/>
      <c r="N108" s="323"/>
      <c r="O108" s="323"/>
      <c r="P108" s="323"/>
      <c r="Q108" s="323"/>
      <c r="R108" s="323"/>
      <c r="S108" s="323"/>
      <c r="T108" s="323"/>
      <c r="U108" s="322"/>
      <c r="V108" s="322"/>
      <c r="W108" s="322"/>
      <c r="X108" s="322"/>
      <c r="Y108" s="322"/>
      <c r="Z108" s="322"/>
      <c r="AA108" s="322"/>
      <c r="AB108" s="322"/>
      <c r="AC108" s="322"/>
      <c r="AD108" s="322"/>
      <c r="AE108" s="322"/>
      <c r="AF108" s="322"/>
      <c r="AG108" s="322"/>
      <c r="AH108" s="322"/>
      <c r="AI108" s="322"/>
      <c r="AJ108" s="482"/>
      <c r="AK108" s="322"/>
      <c r="AL108" s="324"/>
      <c r="AM108" s="322"/>
      <c r="AN108" s="281"/>
      <c r="AO108" s="325"/>
      <c r="AP108" s="326"/>
      <c r="AQ108" s="643"/>
      <c r="AR108" s="255"/>
      <c r="AS108" s="255"/>
      <c r="AT108" s="643"/>
      <c r="AU108" s="643"/>
      <c r="AV108" s="643"/>
    </row>
    <row r="109" spans="1:48" s="103" customFormat="1" ht="57.75" hidden="1" customHeight="1">
      <c r="A109" s="11"/>
      <c r="B109" s="11"/>
      <c r="C109" s="11"/>
      <c r="D109" s="255"/>
      <c r="E109" s="720" t="s">
        <v>207</v>
      </c>
      <c r="F109" s="720"/>
      <c r="G109" s="327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9"/>
      <c r="W109" s="329"/>
      <c r="X109" s="11"/>
      <c r="Y109" s="11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483"/>
      <c r="AK109" s="11"/>
      <c r="AL109" s="281"/>
      <c r="AM109" s="11"/>
      <c r="AN109" s="281"/>
      <c r="AP109" s="326"/>
      <c r="AQ109" s="643"/>
      <c r="AR109" s="255"/>
      <c r="AS109" s="255"/>
      <c r="AT109" s="643"/>
      <c r="AU109" s="643"/>
      <c r="AV109" s="643"/>
    </row>
  </sheetData>
  <mergeCells count="40">
    <mergeCell ref="D11:AV11"/>
    <mergeCell ref="E6:AT6"/>
    <mergeCell ref="D7:AV7"/>
    <mergeCell ref="D8:AV8"/>
    <mergeCell ref="D9:AV9"/>
    <mergeCell ref="D10:AV10"/>
    <mergeCell ref="E109:F109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X14:Y15"/>
    <mergeCell ref="Z14:AA15"/>
    <mergeCell ref="O14:T14"/>
    <mergeCell ref="D100:F100"/>
    <mergeCell ref="H107:J107"/>
    <mergeCell ref="U14:U16"/>
    <mergeCell ref="V14:W15"/>
    <mergeCell ref="O15:P15"/>
    <mergeCell ref="Q15:R15"/>
    <mergeCell ref="S15:T15"/>
    <mergeCell ref="AT15:AU15"/>
    <mergeCell ref="AB14:AC15"/>
    <mergeCell ref="AD14:AI14"/>
    <mergeCell ref="AF15:AG15"/>
    <mergeCell ref="AH15:AI15"/>
    <mergeCell ref="AQ14:AS15"/>
    <mergeCell ref="AT14:AV14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14"/>
  <sheetViews>
    <sheetView view="pageBreakPreview" topLeftCell="C78" zoomScale="70" zoomScaleSheetLayoutView="70" workbookViewId="0">
      <selection activeCell="BB87" sqref="BB87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49"/>
      <c r="AR1" s="255"/>
      <c r="AS1" s="255"/>
      <c r="AT1" s="649"/>
      <c r="AU1" s="649"/>
      <c r="AV1" s="649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49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49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355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49"/>
      <c r="AR12" s="255"/>
      <c r="AS12" s="255"/>
      <c r="AT12" s="650"/>
      <c r="AU12" s="650"/>
      <c r="AV12" s="650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354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50"/>
      <c r="D16" s="748"/>
      <c r="E16" s="685"/>
      <c r="F16" s="685"/>
      <c r="G16" s="202"/>
      <c r="H16" s="201"/>
      <c r="I16" s="201"/>
      <c r="J16" s="241"/>
      <c r="K16" s="241"/>
      <c r="L16" s="241"/>
      <c r="M16" s="648" t="s">
        <v>77</v>
      </c>
      <c r="N16" s="648" t="s">
        <v>78</v>
      </c>
      <c r="O16" s="648" t="s">
        <v>77</v>
      </c>
      <c r="P16" s="648" t="s">
        <v>78</v>
      </c>
      <c r="Q16" s="648" t="s">
        <v>77</v>
      </c>
      <c r="R16" s="648" t="s">
        <v>78</v>
      </c>
      <c r="S16" s="648" t="s">
        <v>77</v>
      </c>
      <c r="T16" s="648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47" t="s">
        <v>77</v>
      </c>
      <c r="AE16" s="647" t="s">
        <v>78</v>
      </c>
      <c r="AF16" s="205" t="s">
        <v>77</v>
      </c>
      <c r="AG16" s="205" t="s">
        <v>78</v>
      </c>
      <c r="AH16" s="647" t="s">
        <v>77</v>
      </c>
      <c r="AI16" s="647" t="s">
        <v>78</v>
      </c>
      <c r="AJ16" s="207" t="s">
        <v>96</v>
      </c>
      <c r="AK16" s="96" t="s">
        <v>19</v>
      </c>
      <c r="AL16" s="645" t="s">
        <v>96</v>
      </c>
      <c r="AM16" s="645" t="s">
        <v>19</v>
      </c>
      <c r="AN16" s="216" t="s">
        <v>96</v>
      </c>
      <c r="AO16" s="216" t="s">
        <v>19</v>
      </c>
      <c r="AP16" s="207" t="s">
        <v>96</v>
      </c>
      <c r="AQ16" s="645" t="s">
        <v>96</v>
      </c>
      <c r="AR16" s="645" t="s">
        <v>107</v>
      </c>
      <c r="AS16" s="645" t="s">
        <v>19</v>
      </c>
      <c r="AT16" s="646" t="s">
        <v>96</v>
      </c>
      <c r="AU16" s="646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77" si="0">J18*K18</f>
        <v>0</v>
      </c>
      <c r="N18" s="276">
        <f t="shared" ref="N18:N77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77" si="2">AC18+AK18-AM18</f>
        <v>1026.1600000000001</v>
      </c>
      <c r="AP18" s="233"/>
      <c r="AQ18" s="233"/>
      <c r="AR18" s="170">
        <v>1026.1600000000001</v>
      </c>
      <c r="AS18" s="170">
        <f t="shared" ref="AS18:AS102" si="3">AQ18*AR18</f>
        <v>0</v>
      </c>
      <c r="AT18" s="233">
        <f>AV18</f>
        <v>0</v>
      </c>
      <c r="AU18" s="386">
        <f t="shared" ref="AU18:AU102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102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7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58</v>
      </c>
      <c r="AU34" s="228"/>
      <c r="AV34" s="279">
        <v>58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51" t="s">
        <v>53</v>
      </c>
      <c r="G36" s="275" t="s">
        <v>168</v>
      </c>
      <c r="H36" s="115"/>
      <c r="I36" s="115"/>
      <c r="J36" s="115"/>
      <c r="K36" s="115"/>
      <c r="L36" s="276"/>
      <c r="M36" s="277"/>
      <c r="N36" s="276"/>
      <c r="O36" s="115"/>
      <c r="P36" s="276"/>
      <c r="Q36" s="115"/>
      <c r="R36" s="276"/>
      <c r="S36" s="115"/>
      <c r="T36" s="276"/>
      <c r="U36" s="278" t="s">
        <v>268</v>
      </c>
      <c r="V36" s="115"/>
      <c r="W36" s="114"/>
      <c r="X36" s="115"/>
      <c r="Y36" s="221"/>
      <c r="Z36" s="115"/>
      <c r="AA36" s="115"/>
      <c r="AB36" s="35"/>
      <c r="AC36" s="170"/>
      <c r="AD36" s="208"/>
      <c r="AE36" s="170"/>
      <c r="AF36" s="208"/>
      <c r="AG36" s="170"/>
      <c r="AH36" s="208"/>
      <c r="AI36" s="170"/>
      <c r="AJ36" s="233">
        <v>46</v>
      </c>
      <c r="AK36" s="170"/>
      <c r="AL36" s="270"/>
      <c r="AM36" s="170"/>
      <c r="AN36" s="270"/>
      <c r="AO36" s="170"/>
      <c r="AP36" s="233"/>
      <c r="AQ36" s="233"/>
      <c r="AR36" s="170"/>
      <c r="AS36" s="170"/>
      <c r="AT36" s="233">
        <f t="shared" si="6"/>
        <v>0</v>
      </c>
      <c r="AU36" s="386"/>
      <c r="AV36" s="233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58</v>
      </c>
      <c r="AU39" s="228"/>
      <c r="AV39" s="279">
        <v>58</v>
      </c>
    </row>
    <row r="40" spans="1:48" s="62" customFormat="1" ht="26.25" customHeight="1">
      <c r="A40" s="59"/>
      <c r="B40" s="60"/>
      <c r="C40" s="60"/>
      <c r="D40" s="22"/>
      <c r="E40" s="79"/>
      <c r="F40" s="51" t="s">
        <v>43</v>
      </c>
      <c r="G40" s="275" t="s">
        <v>163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260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50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26.25" customHeight="1">
      <c r="A41" s="59"/>
      <c r="B41" s="60"/>
      <c r="C41" s="60"/>
      <c r="D41" s="22"/>
      <c r="E41" s="79"/>
      <c r="F41" s="51" t="s">
        <v>43</v>
      </c>
      <c r="G41" s="275" t="s">
        <v>163</v>
      </c>
      <c r="H41" s="115"/>
      <c r="I41" s="115"/>
      <c r="J41" s="115"/>
      <c r="K41" s="115"/>
      <c r="L41" s="276"/>
      <c r="M41" s="277"/>
      <c r="N41" s="276"/>
      <c r="O41" s="115"/>
      <c r="P41" s="276"/>
      <c r="Q41" s="115"/>
      <c r="R41" s="276"/>
      <c r="S41" s="115"/>
      <c r="T41" s="276"/>
      <c r="U41" s="278" t="s">
        <v>261</v>
      </c>
      <c r="V41" s="115"/>
      <c r="W41" s="114"/>
      <c r="X41" s="115"/>
      <c r="Y41" s="221"/>
      <c r="Z41" s="115"/>
      <c r="AA41" s="115"/>
      <c r="AB41" s="35"/>
      <c r="AC41" s="170"/>
      <c r="AD41" s="208"/>
      <c r="AE41" s="170"/>
      <c r="AF41" s="208"/>
      <c r="AG41" s="170"/>
      <c r="AH41" s="208"/>
      <c r="AI41" s="170"/>
      <c r="AJ41" s="233">
        <v>60</v>
      </c>
      <c r="AK41" s="170"/>
      <c r="AL41" s="270"/>
      <c r="AM41" s="170"/>
      <c r="AN41" s="270"/>
      <c r="AO41" s="170"/>
      <c r="AP41" s="233"/>
      <c r="AQ41" s="233"/>
      <c r="AR41" s="170"/>
      <c r="AS41" s="170"/>
      <c r="AT41" s="233">
        <f t="shared" si="6"/>
        <v>0</v>
      </c>
      <c r="AU41" s="386"/>
      <c r="AV41" s="233">
        <v>0</v>
      </c>
    </row>
    <row r="42" spans="1:48" s="62" customFormat="1" ht="26.25" customHeight="1">
      <c r="A42" s="59"/>
      <c r="B42" s="60"/>
      <c r="C42" s="60"/>
      <c r="D42" s="22"/>
      <c r="E42" s="79"/>
      <c r="F42" s="51" t="s">
        <v>43</v>
      </c>
      <c r="G42" s="275" t="s">
        <v>163</v>
      </c>
      <c r="H42" s="115"/>
      <c r="I42" s="115"/>
      <c r="J42" s="115"/>
      <c r="K42" s="115"/>
      <c r="L42" s="276"/>
      <c r="M42" s="277"/>
      <c r="N42" s="276"/>
      <c r="O42" s="115"/>
      <c r="P42" s="276"/>
      <c r="Q42" s="115"/>
      <c r="R42" s="276"/>
      <c r="S42" s="115"/>
      <c r="T42" s="276"/>
      <c r="U42" s="278" t="s">
        <v>282</v>
      </c>
      <c r="V42" s="115"/>
      <c r="W42" s="114"/>
      <c r="X42" s="115"/>
      <c r="Y42" s="221"/>
      <c r="Z42" s="115"/>
      <c r="AA42" s="115"/>
      <c r="AB42" s="35"/>
      <c r="AC42" s="170"/>
      <c r="AD42" s="208"/>
      <c r="AE42" s="170"/>
      <c r="AF42" s="208"/>
      <c r="AG42" s="170"/>
      <c r="AH42" s="208"/>
      <c r="AI42" s="170"/>
      <c r="AJ42" s="233">
        <v>45</v>
      </c>
      <c r="AK42" s="170"/>
      <c r="AL42" s="270"/>
      <c r="AM42" s="170"/>
      <c r="AN42" s="270"/>
      <c r="AO42" s="170"/>
      <c r="AP42" s="233"/>
      <c r="AQ42" s="233"/>
      <c r="AR42" s="170"/>
      <c r="AS42" s="170"/>
      <c r="AT42" s="233">
        <f t="shared" si="6"/>
        <v>0</v>
      </c>
      <c r="AU42" s="386"/>
      <c r="AV42" s="233">
        <v>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15</v>
      </c>
      <c r="AU43" s="228"/>
      <c r="AV43" s="279">
        <v>15</v>
      </c>
    </row>
    <row r="44" spans="1:48" s="62" customFormat="1" ht="26.25" customHeight="1">
      <c r="A44" s="59"/>
      <c r="B44" s="60"/>
      <c r="C44" s="60"/>
      <c r="D44" s="22"/>
      <c r="E44" s="79"/>
      <c r="F44" s="51" t="s">
        <v>43</v>
      </c>
      <c r="G44" s="275" t="s">
        <v>163</v>
      </c>
      <c r="H44" s="115"/>
      <c r="I44" s="115"/>
      <c r="J44" s="115"/>
      <c r="K44" s="115"/>
      <c r="L44" s="276"/>
      <c r="M44" s="277"/>
      <c r="N44" s="276"/>
      <c r="O44" s="115"/>
      <c r="P44" s="276"/>
      <c r="Q44" s="115"/>
      <c r="R44" s="276"/>
      <c r="S44" s="115"/>
      <c r="T44" s="276"/>
      <c r="U44" s="278" t="s">
        <v>317</v>
      </c>
      <c r="V44" s="115"/>
      <c r="W44" s="114"/>
      <c r="X44" s="115"/>
      <c r="Y44" s="221"/>
      <c r="Z44" s="115"/>
      <c r="AA44" s="115"/>
      <c r="AB44" s="35"/>
      <c r="AC44" s="170"/>
      <c r="AD44" s="208"/>
      <c r="AE44" s="170"/>
      <c r="AF44" s="208"/>
      <c r="AG44" s="170"/>
      <c r="AH44" s="208"/>
      <c r="AI44" s="170"/>
      <c r="AJ44" s="233">
        <v>5</v>
      </c>
      <c r="AK44" s="170"/>
      <c r="AL44" s="270"/>
      <c r="AM44" s="170"/>
      <c r="AN44" s="270"/>
      <c r="AO44" s="170"/>
      <c r="AP44" s="233"/>
      <c r="AQ44" s="233"/>
      <c r="AR44" s="170"/>
      <c r="AS44" s="170"/>
      <c r="AT44" s="233">
        <f t="shared" si="6"/>
        <v>0</v>
      </c>
      <c r="AU44" s="386"/>
      <c r="AV44" s="233">
        <v>0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51" t="s">
        <v>269</v>
      </c>
      <c r="G48" s="275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78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3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33">
        <f t="shared" si="6"/>
        <v>0</v>
      </c>
      <c r="AU48" s="386">
        <f>AT48*AR48</f>
        <v>0</v>
      </c>
      <c r="AV48" s="233">
        <v>0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33">
        <f t="shared" si="6"/>
        <v>0</v>
      </c>
      <c r="AU49" s="386">
        <f t="shared" si="4"/>
        <v>0</v>
      </c>
      <c r="AV49" s="233">
        <v>0</v>
      </c>
    </row>
    <row r="50" spans="1:49" s="62" customFormat="1" ht="26.25" customHeight="1">
      <c r="A50" s="59"/>
      <c r="B50" s="60"/>
      <c r="C50" s="60"/>
      <c r="D50" s="22"/>
      <c r="E50" s="79"/>
      <c r="F50" s="51" t="s">
        <v>269</v>
      </c>
      <c r="G50" s="275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3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f t="shared" si="6"/>
        <v>0</v>
      </c>
      <c r="AU50" s="386"/>
      <c r="AV50" s="233">
        <v>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20</v>
      </c>
      <c r="AU51" s="386"/>
      <c r="AV51" s="279">
        <v>20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165</v>
      </c>
      <c r="AU54" s="386"/>
      <c r="AV54" s="279">
        <v>165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230</v>
      </c>
      <c r="AU62" s="249">
        <f t="shared" si="4"/>
        <v>46501.4</v>
      </c>
      <c r="AV62" s="247">
        <v>230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132</v>
      </c>
      <c r="V65" s="115">
        <v>108</v>
      </c>
      <c r="W65" s="114">
        <v>43119</v>
      </c>
      <c r="X65" s="115" t="s">
        <v>131</v>
      </c>
      <c r="Y65" s="221">
        <v>43130</v>
      </c>
      <c r="Z65" s="115"/>
      <c r="AA65" s="115"/>
      <c r="AB65" s="22">
        <v>0</v>
      </c>
      <c r="AC65" s="170">
        <v>0</v>
      </c>
      <c r="AD65" s="208">
        <v>340</v>
      </c>
      <c r="AE65" s="170">
        <v>68741.2</v>
      </c>
      <c r="AF65" s="208"/>
      <c r="AG65" s="170"/>
      <c r="AH65" s="208"/>
      <c r="AI65" s="170"/>
      <c r="AJ65" s="233"/>
      <c r="AK65" s="170">
        <f t="shared" si="5"/>
        <v>68741.2</v>
      </c>
      <c r="AL65" s="270">
        <v>0</v>
      </c>
      <c r="AM65" s="170">
        <v>0</v>
      </c>
      <c r="AN65" s="270">
        <v>340</v>
      </c>
      <c r="AO65" s="170">
        <f t="shared" si="2"/>
        <v>68741.2</v>
      </c>
      <c r="AP65" s="233"/>
      <c r="AQ65" s="233"/>
      <c r="AR65" s="170">
        <v>202.18</v>
      </c>
      <c r="AS65" s="170">
        <f t="shared" si="3"/>
        <v>0</v>
      </c>
      <c r="AT65" s="233">
        <f t="shared" si="6"/>
        <v>0</v>
      </c>
      <c r="AU65" s="386">
        <f t="shared" si="4"/>
        <v>0</v>
      </c>
      <c r="AV65" s="233">
        <v>0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247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51" t="s">
        <v>247</v>
      </c>
      <c r="G79" s="275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78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3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33">
        <f t="shared" si="6"/>
        <v>0</v>
      </c>
      <c r="AU79" s="386"/>
      <c r="AV79" s="233">
        <v>0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247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60</v>
      </c>
      <c r="AU81" s="386"/>
      <c r="AV81" s="279">
        <v>60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15"/>
      <c r="I82" s="115"/>
      <c r="J82" s="115"/>
      <c r="K82" s="115"/>
      <c r="L82" s="276"/>
      <c r="M82" s="277"/>
      <c r="N82" s="276"/>
      <c r="O82" s="115"/>
      <c r="P82" s="276"/>
      <c r="Q82" s="115"/>
      <c r="R82" s="276"/>
      <c r="S82" s="115"/>
      <c r="T82" s="276"/>
      <c r="U82" s="657" t="s">
        <v>356</v>
      </c>
      <c r="V82" s="115"/>
      <c r="W82" s="114"/>
      <c r="X82" s="115"/>
      <c r="Y82" s="221"/>
      <c r="Z82" s="115"/>
      <c r="AA82" s="115"/>
      <c r="AB82" s="22"/>
      <c r="AC82" s="170"/>
      <c r="AD82" s="208"/>
      <c r="AE82" s="170"/>
      <c r="AF82" s="208"/>
      <c r="AG82" s="170"/>
      <c r="AH82" s="208"/>
      <c r="AI82" s="170"/>
      <c r="AJ82" s="232">
        <v>16</v>
      </c>
      <c r="AK82" s="170"/>
      <c r="AL82" s="270"/>
      <c r="AM82" s="170"/>
      <c r="AN82" s="270"/>
      <c r="AO82" s="170"/>
      <c r="AP82" s="233"/>
      <c r="AQ82" s="233"/>
      <c r="AR82" s="170"/>
      <c r="AS82" s="170"/>
      <c r="AT82" s="247">
        <f t="shared" si="6"/>
        <v>16</v>
      </c>
      <c r="AU82" s="386"/>
      <c r="AV82" s="279">
        <v>16</v>
      </c>
    </row>
    <row r="83" spans="1:48" s="62" customFormat="1" ht="25.5" customHeight="1">
      <c r="A83" s="59"/>
      <c r="B83" s="60"/>
      <c r="C83" s="427"/>
      <c r="D83" s="428"/>
      <c r="E83" s="79"/>
      <c r="F83" s="140" t="s">
        <v>55</v>
      </c>
      <c r="G83" s="222" t="s">
        <v>114</v>
      </c>
      <c r="H83" s="115"/>
      <c r="I83" s="115"/>
      <c r="J83" s="115"/>
      <c r="K83" s="115"/>
      <c r="L83" s="276"/>
      <c r="M83" s="277"/>
      <c r="N83" s="276"/>
      <c r="O83" s="115"/>
      <c r="P83" s="276"/>
      <c r="Q83" s="115"/>
      <c r="R83" s="276"/>
      <c r="S83" s="115"/>
      <c r="T83" s="276"/>
      <c r="U83" s="657" t="s">
        <v>357</v>
      </c>
      <c r="V83" s="115"/>
      <c r="W83" s="114"/>
      <c r="X83" s="115"/>
      <c r="Y83" s="221"/>
      <c r="Z83" s="115"/>
      <c r="AA83" s="115"/>
      <c r="AB83" s="22"/>
      <c r="AC83" s="170"/>
      <c r="AD83" s="208"/>
      <c r="AE83" s="170"/>
      <c r="AF83" s="208"/>
      <c r="AG83" s="170"/>
      <c r="AH83" s="208"/>
      <c r="AI83" s="170"/>
      <c r="AJ83" s="232">
        <v>50</v>
      </c>
      <c r="AK83" s="170"/>
      <c r="AL83" s="270"/>
      <c r="AM83" s="170"/>
      <c r="AN83" s="270"/>
      <c r="AO83" s="170"/>
      <c r="AP83" s="233"/>
      <c r="AQ83" s="233"/>
      <c r="AR83" s="170"/>
      <c r="AS83" s="170"/>
      <c r="AT83" s="247">
        <f t="shared" si="6"/>
        <v>50</v>
      </c>
      <c r="AU83" s="386"/>
      <c r="AV83" s="279">
        <v>50</v>
      </c>
    </row>
    <row r="84" spans="1:48" s="62" customFormat="1" ht="25.5" customHeight="1">
      <c r="A84" s="59"/>
      <c r="B84" s="60"/>
      <c r="C84" s="60"/>
      <c r="D84" s="22"/>
      <c r="E84" s="79"/>
      <c r="F84" s="173" t="s">
        <v>64</v>
      </c>
      <c r="G84" s="222" t="s">
        <v>140</v>
      </c>
      <c r="H84" s="193"/>
      <c r="I84" s="193"/>
      <c r="J84" s="193"/>
      <c r="K84" s="193"/>
      <c r="L84" s="243"/>
      <c r="M84" s="242"/>
      <c r="N84" s="243"/>
      <c r="O84" s="193"/>
      <c r="P84" s="243"/>
      <c r="Q84" s="193"/>
      <c r="R84" s="243"/>
      <c r="S84" s="193"/>
      <c r="T84" s="243"/>
      <c r="U84" s="203" t="s">
        <v>244</v>
      </c>
      <c r="V84" s="115"/>
      <c r="W84" s="114"/>
      <c r="X84" s="193"/>
      <c r="Y84" s="200"/>
      <c r="Z84" s="193"/>
      <c r="AA84" s="200"/>
      <c r="AB84" s="22"/>
      <c r="AC84" s="170"/>
      <c r="AD84" s="209"/>
      <c r="AE84" s="194"/>
      <c r="AF84" s="209"/>
      <c r="AG84" s="194"/>
      <c r="AH84" s="209"/>
      <c r="AI84" s="194"/>
      <c r="AJ84" s="232"/>
      <c r="AK84" s="170"/>
      <c r="AL84" s="272"/>
      <c r="AM84" s="212"/>
      <c r="AN84" s="269"/>
      <c r="AO84" s="217"/>
      <c r="AP84" s="232"/>
      <c r="AQ84" s="229"/>
      <c r="AR84" s="212"/>
      <c r="AS84" s="212"/>
      <c r="AT84" s="247">
        <f t="shared" si="6"/>
        <v>236</v>
      </c>
      <c r="AU84" s="228"/>
      <c r="AV84" s="279">
        <v>236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264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>
        <v>224</v>
      </c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224</v>
      </c>
      <c r="AU85" s="228"/>
      <c r="AV85" s="279">
        <v>224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244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176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176</v>
      </c>
      <c r="AU86" s="228"/>
      <c r="AV86" s="279">
        <v>176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285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154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si="6"/>
        <v>154</v>
      </c>
      <c r="AU87" s="228"/>
      <c r="AV87" s="279">
        <v>154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293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84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ref="AT88:AT104" si="9">AV88</f>
        <v>84</v>
      </c>
      <c r="AU88" s="228"/>
      <c r="AV88" s="279">
        <v>84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293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48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si="9"/>
        <v>48</v>
      </c>
      <c r="AU89" s="228"/>
      <c r="AV89" s="279">
        <v>48</v>
      </c>
    </row>
    <row r="90" spans="1:48" s="62" customFormat="1" ht="25.5" customHeight="1">
      <c r="A90" s="59"/>
      <c r="B90" s="60"/>
      <c r="C90" s="60"/>
      <c r="D90" s="22"/>
      <c r="E90" s="79"/>
      <c r="F90" s="173" t="s">
        <v>64</v>
      </c>
      <c r="G90" s="222" t="s">
        <v>140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323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36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9"/>
        <v>36</v>
      </c>
      <c r="AU90" s="228"/>
      <c r="AV90" s="279">
        <v>36</v>
      </c>
    </row>
    <row r="91" spans="1:48" s="62" customFormat="1" ht="25.5" customHeight="1">
      <c r="A91" s="59"/>
      <c r="B91" s="60"/>
      <c r="C91" s="427"/>
      <c r="D91" s="428"/>
      <c r="E91" s="79"/>
      <c r="F91" s="173" t="s">
        <v>64</v>
      </c>
      <c r="G91" s="222" t="s">
        <v>140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657" t="s">
        <v>358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60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9"/>
        <v>60</v>
      </c>
      <c r="AU91" s="228"/>
      <c r="AV91" s="279">
        <v>60</v>
      </c>
    </row>
    <row r="92" spans="1:48" s="62" customFormat="1" ht="25.5" customHeight="1">
      <c r="A92" s="59"/>
      <c r="B92" s="60"/>
      <c r="C92" s="427"/>
      <c r="D92" s="428"/>
      <c r="E92" s="79"/>
      <c r="F92" s="173" t="s">
        <v>64</v>
      </c>
      <c r="G92" s="222" t="s">
        <v>140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657" t="s">
        <v>358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156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9"/>
        <v>156</v>
      </c>
      <c r="AU92" s="228"/>
      <c r="AV92" s="279">
        <v>156</v>
      </c>
    </row>
    <row r="93" spans="1:48" s="62" customFormat="1" ht="31.5">
      <c r="A93" s="59"/>
      <c r="B93" s="60"/>
      <c r="C93" s="60"/>
      <c r="D93" s="22"/>
      <c r="E93" s="79"/>
      <c r="F93" s="51" t="s">
        <v>57</v>
      </c>
      <c r="G93" s="275" t="s">
        <v>121</v>
      </c>
      <c r="H93" s="115"/>
      <c r="I93" s="115"/>
      <c r="J93" s="115"/>
      <c r="K93" s="115"/>
      <c r="L93" s="276"/>
      <c r="M93" s="277"/>
      <c r="N93" s="276"/>
      <c r="O93" s="115"/>
      <c r="P93" s="276"/>
      <c r="Q93" s="115"/>
      <c r="R93" s="276"/>
      <c r="S93" s="115"/>
      <c r="T93" s="276"/>
      <c r="U93" s="278" t="s">
        <v>266</v>
      </c>
      <c r="V93" s="115"/>
      <c r="W93" s="114"/>
      <c r="X93" s="115"/>
      <c r="Y93" s="221"/>
      <c r="Z93" s="115"/>
      <c r="AA93" s="221"/>
      <c r="AB93" s="22"/>
      <c r="AC93" s="170"/>
      <c r="AD93" s="208"/>
      <c r="AE93" s="170"/>
      <c r="AF93" s="208"/>
      <c r="AG93" s="170"/>
      <c r="AH93" s="208"/>
      <c r="AI93" s="170"/>
      <c r="AJ93" s="233">
        <v>766</v>
      </c>
      <c r="AK93" s="170"/>
      <c r="AL93" s="270"/>
      <c r="AM93" s="170"/>
      <c r="AN93" s="270"/>
      <c r="AO93" s="170"/>
      <c r="AP93" s="233"/>
      <c r="AQ93" s="233"/>
      <c r="AR93" s="170"/>
      <c r="AS93" s="170"/>
      <c r="AT93" s="233">
        <f t="shared" si="9"/>
        <v>0</v>
      </c>
      <c r="AU93" s="386"/>
      <c r="AV93" s="233">
        <v>0</v>
      </c>
    </row>
    <row r="94" spans="1:48" s="62" customFormat="1" ht="31.5">
      <c r="A94" s="59"/>
      <c r="B94" s="60"/>
      <c r="C94" s="60"/>
      <c r="D94" s="22"/>
      <c r="E94" s="79"/>
      <c r="F94" s="51" t="s">
        <v>57</v>
      </c>
      <c r="G94" s="275" t="s">
        <v>121</v>
      </c>
      <c r="H94" s="115"/>
      <c r="I94" s="115"/>
      <c r="J94" s="115"/>
      <c r="K94" s="115"/>
      <c r="L94" s="276"/>
      <c r="M94" s="277"/>
      <c r="N94" s="276"/>
      <c r="O94" s="115"/>
      <c r="P94" s="276"/>
      <c r="Q94" s="115"/>
      <c r="R94" s="276"/>
      <c r="S94" s="115"/>
      <c r="T94" s="276"/>
      <c r="U94" s="278" t="s">
        <v>266</v>
      </c>
      <c r="V94" s="115"/>
      <c r="W94" s="114"/>
      <c r="X94" s="115"/>
      <c r="Y94" s="221"/>
      <c r="Z94" s="115"/>
      <c r="AA94" s="221"/>
      <c r="AB94" s="22"/>
      <c r="AC94" s="170"/>
      <c r="AD94" s="208"/>
      <c r="AE94" s="170"/>
      <c r="AF94" s="208"/>
      <c r="AG94" s="170"/>
      <c r="AH94" s="208"/>
      <c r="AI94" s="170"/>
      <c r="AJ94" s="233">
        <v>450</v>
      </c>
      <c r="AK94" s="170"/>
      <c r="AL94" s="270"/>
      <c r="AM94" s="170"/>
      <c r="AN94" s="270"/>
      <c r="AO94" s="170"/>
      <c r="AP94" s="233"/>
      <c r="AQ94" s="233"/>
      <c r="AR94" s="170"/>
      <c r="AS94" s="170"/>
      <c r="AT94" s="233">
        <f t="shared" si="9"/>
        <v>0</v>
      </c>
      <c r="AU94" s="386"/>
      <c r="AV94" s="233">
        <v>0</v>
      </c>
    </row>
    <row r="95" spans="1:48" s="62" customFormat="1" ht="31.5">
      <c r="A95" s="59"/>
      <c r="B95" s="60"/>
      <c r="C95" s="60"/>
      <c r="D95" s="22"/>
      <c r="E95" s="79"/>
      <c r="F95" s="51" t="s">
        <v>57</v>
      </c>
      <c r="G95" s="275" t="s">
        <v>279</v>
      </c>
      <c r="H95" s="115"/>
      <c r="I95" s="115"/>
      <c r="J95" s="115"/>
      <c r="K95" s="115"/>
      <c r="L95" s="276"/>
      <c r="M95" s="277"/>
      <c r="N95" s="276"/>
      <c r="O95" s="115"/>
      <c r="P95" s="276"/>
      <c r="Q95" s="115"/>
      <c r="R95" s="276"/>
      <c r="S95" s="115"/>
      <c r="T95" s="276"/>
      <c r="U95" s="278" t="s">
        <v>266</v>
      </c>
      <c r="V95" s="115"/>
      <c r="W95" s="114"/>
      <c r="X95" s="115"/>
      <c r="Y95" s="221"/>
      <c r="Z95" s="115"/>
      <c r="AA95" s="221"/>
      <c r="AB95" s="22"/>
      <c r="AC95" s="170"/>
      <c r="AD95" s="208"/>
      <c r="AE95" s="170"/>
      <c r="AF95" s="208"/>
      <c r="AG95" s="170"/>
      <c r="AH95" s="208"/>
      <c r="AI95" s="170"/>
      <c r="AJ95" s="233">
        <v>610</v>
      </c>
      <c r="AK95" s="170"/>
      <c r="AL95" s="270"/>
      <c r="AM95" s="170"/>
      <c r="AN95" s="270"/>
      <c r="AO95" s="170"/>
      <c r="AP95" s="233"/>
      <c r="AQ95" s="233"/>
      <c r="AR95" s="170"/>
      <c r="AS95" s="170"/>
      <c r="AT95" s="233">
        <f t="shared" si="9"/>
        <v>0</v>
      </c>
      <c r="AU95" s="386"/>
      <c r="AV95" s="233">
        <v>0</v>
      </c>
    </row>
    <row r="96" spans="1:48" s="62" customFormat="1" ht="31.5">
      <c r="A96" s="59"/>
      <c r="B96" s="60"/>
      <c r="C96" s="60"/>
      <c r="D96" s="22"/>
      <c r="E96" s="79"/>
      <c r="F96" s="51" t="s">
        <v>57</v>
      </c>
      <c r="G96" s="275" t="s">
        <v>279</v>
      </c>
      <c r="H96" s="115"/>
      <c r="I96" s="115"/>
      <c r="J96" s="115"/>
      <c r="K96" s="115"/>
      <c r="L96" s="276"/>
      <c r="M96" s="277"/>
      <c r="N96" s="276"/>
      <c r="O96" s="115"/>
      <c r="P96" s="276"/>
      <c r="Q96" s="115"/>
      <c r="R96" s="276"/>
      <c r="S96" s="115"/>
      <c r="T96" s="276"/>
      <c r="U96" s="278" t="s">
        <v>284</v>
      </c>
      <c r="V96" s="115"/>
      <c r="W96" s="114"/>
      <c r="X96" s="115"/>
      <c r="Y96" s="221"/>
      <c r="Z96" s="115"/>
      <c r="AA96" s="221"/>
      <c r="AB96" s="22"/>
      <c r="AC96" s="170"/>
      <c r="AD96" s="208"/>
      <c r="AE96" s="170"/>
      <c r="AF96" s="208"/>
      <c r="AG96" s="170"/>
      <c r="AH96" s="208"/>
      <c r="AI96" s="170"/>
      <c r="AJ96" s="233">
        <v>723</v>
      </c>
      <c r="AK96" s="170"/>
      <c r="AL96" s="270"/>
      <c r="AM96" s="170"/>
      <c r="AN96" s="270"/>
      <c r="AO96" s="170"/>
      <c r="AP96" s="233"/>
      <c r="AQ96" s="233"/>
      <c r="AR96" s="170"/>
      <c r="AS96" s="170"/>
      <c r="AT96" s="233">
        <f t="shared" si="9"/>
        <v>0</v>
      </c>
      <c r="AU96" s="386"/>
      <c r="AV96" s="233">
        <v>0</v>
      </c>
    </row>
    <row r="97" spans="1:48" s="62" customFormat="1" ht="31.5">
      <c r="A97" s="59"/>
      <c r="B97" s="60"/>
      <c r="C97" s="60"/>
      <c r="D97" s="22"/>
      <c r="E97" s="79"/>
      <c r="F97" s="51" t="s">
        <v>57</v>
      </c>
      <c r="G97" s="275" t="s">
        <v>279</v>
      </c>
      <c r="H97" s="115"/>
      <c r="I97" s="115"/>
      <c r="J97" s="115"/>
      <c r="K97" s="115"/>
      <c r="L97" s="276"/>
      <c r="M97" s="277"/>
      <c r="N97" s="276"/>
      <c r="O97" s="115"/>
      <c r="P97" s="276"/>
      <c r="Q97" s="115"/>
      <c r="R97" s="276"/>
      <c r="S97" s="115"/>
      <c r="T97" s="276"/>
      <c r="U97" s="278" t="s">
        <v>311</v>
      </c>
      <c r="V97" s="115"/>
      <c r="W97" s="114"/>
      <c r="X97" s="115"/>
      <c r="Y97" s="221"/>
      <c r="Z97" s="115"/>
      <c r="AA97" s="221"/>
      <c r="AB97" s="22"/>
      <c r="AC97" s="170"/>
      <c r="AD97" s="208"/>
      <c r="AE97" s="170"/>
      <c r="AF97" s="208"/>
      <c r="AG97" s="170"/>
      <c r="AH97" s="208"/>
      <c r="AI97" s="170"/>
      <c r="AJ97" s="233">
        <v>724</v>
      </c>
      <c r="AK97" s="170"/>
      <c r="AL97" s="270"/>
      <c r="AM97" s="170"/>
      <c r="AN97" s="270"/>
      <c r="AO97" s="170"/>
      <c r="AP97" s="233"/>
      <c r="AQ97" s="233"/>
      <c r="AR97" s="170"/>
      <c r="AS97" s="170"/>
      <c r="AT97" s="233">
        <f t="shared" si="9"/>
        <v>0</v>
      </c>
      <c r="AU97" s="386"/>
      <c r="AV97" s="233">
        <v>0</v>
      </c>
    </row>
    <row r="98" spans="1:48" s="62" customFormat="1" ht="31.5">
      <c r="A98" s="59"/>
      <c r="B98" s="60"/>
      <c r="C98" s="60"/>
      <c r="D98" s="22"/>
      <c r="E98" s="79"/>
      <c r="F98" s="150" t="s">
        <v>57</v>
      </c>
      <c r="G98" s="222" t="s">
        <v>279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203" t="s">
        <v>311</v>
      </c>
      <c r="V98" s="115"/>
      <c r="W98" s="114"/>
      <c r="X98" s="193"/>
      <c r="Y98" s="200"/>
      <c r="Z98" s="193"/>
      <c r="AA98" s="200"/>
      <c r="AB98" s="22"/>
      <c r="AC98" s="170"/>
      <c r="AD98" s="209"/>
      <c r="AE98" s="194"/>
      <c r="AF98" s="209"/>
      <c r="AG98" s="194"/>
      <c r="AH98" s="209"/>
      <c r="AI98" s="194"/>
      <c r="AJ98" s="232">
        <v>726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499</v>
      </c>
      <c r="AU98" s="228"/>
      <c r="AV98" s="279">
        <v>499</v>
      </c>
    </row>
    <row r="99" spans="1:48" s="62" customFormat="1" ht="31.5">
      <c r="A99" s="59"/>
      <c r="B99" s="60"/>
      <c r="C99" s="427"/>
      <c r="D99" s="428"/>
      <c r="E99" s="79"/>
      <c r="F99" s="150" t="s">
        <v>57</v>
      </c>
      <c r="G99" s="222" t="s">
        <v>279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203" t="s">
        <v>311</v>
      </c>
      <c r="V99" s="115"/>
      <c r="W99" s="114"/>
      <c r="X99" s="193"/>
      <c r="Y99" s="200"/>
      <c r="Z99" s="193"/>
      <c r="AA99" s="200"/>
      <c r="AB99" s="22"/>
      <c r="AC99" s="170"/>
      <c r="AD99" s="209"/>
      <c r="AE99" s="194"/>
      <c r="AF99" s="209"/>
      <c r="AG99" s="194"/>
      <c r="AH99" s="209"/>
      <c r="AI99" s="194"/>
      <c r="AJ99" s="232">
        <v>544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544</v>
      </c>
      <c r="AU99" s="228"/>
      <c r="AV99" s="279">
        <v>544</v>
      </c>
    </row>
    <row r="100" spans="1:48" s="62" customFormat="1" ht="31.5">
      <c r="A100" s="59"/>
      <c r="B100" s="60"/>
      <c r="C100" s="427"/>
      <c r="D100" s="428"/>
      <c r="E100" s="79"/>
      <c r="F100" s="150" t="s">
        <v>57</v>
      </c>
      <c r="G100" s="222" t="s">
        <v>279</v>
      </c>
      <c r="H100" s="193"/>
      <c r="I100" s="193"/>
      <c r="J100" s="193"/>
      <c r="K100" s="193"/>
      <c r="L100" s="243"/>
      <c r="M100" s="242"/>
      <c r="N100" s="243"/>
      <c r="O100" s="193"/>
      <c r="P100" s="243"/>
      <c r="Q100" s="193"/>
      <c r="R100" s="243"/>
      <c r="S100" s="193"/>
      <c r="T100" s="243"/>
      <c r="U100" s="203" t="s">
        <v>311</v>
      </c>
      <c r="V100" s="115"/>
      <c r="W100" s="114"/>
      <c r="X100" s="193"/>
      <c r="Y100" s="200"/>
      <c r="Z100" s="193"/>
      <c r="AA100" s="200"/>
      <c r="AB100" s="22"/>
      <c r="AC100" s="170"/>
      <c r="AD100" s="209"/>
      <c r="AE100" s="194"/>
      <c r="AF100" s="209"/>
      <c r="AG100" s="194"/>
      <c r="AH100" s="209"/>
      <c r="AI100" s="194"/>
      <c r="AJ100" s="232">
        <v>30</v>
      </c>
      <c r="AK100" s="170"/>
      <c r="AL100" s="272"/>
      <c r="AM100" s="212"/>
      <c r="AN100" s="269"/>
      <c r="AO100" s="217"/>
      <c r="AP100" s="232"/>
      <c r="AQ100" s="229"/>
      <c r="AR100" s="212"/>
      <c r="AS100" s="212"/>
      <c r="AT100" s="247">
        <f t="shared" si="9"/>
        <v>30</v>
      </c>
      <c r="AU100" s="228"/>
      <c r="AV100" s="279">
        <v>30</v>
      </c>
    </row>
    <row r="101" spans="1:48" s="62" customFormat="1" ht="26.25" customHeight="1">
      <c r="A101" s="59"/>
      <c r="B101" s="60"/>
      <c r="C101" s="60"/>
      <c r="D101" s="22"/>
      <c r="E101" s="79" t="s">
        <v>24</v>
      </c>
      <c r="F101" s="161" t="s">
        <v>61</v>
      </c>
      <c r="G101" s="222" t="s">
        <v>127</v>
      </c>
      <c r="H101" s="193" t="s">
        <v>91</v>
      </c>
      <c r="I101" s="193" t="s">
        <v>91</v>
      </c>
      <c r="J101" s="193">
        <v>48</v>
      </c>
      <c r="K101" s="193">
        <v>3</v>
      </c>
      <c r="L101" s="243">
        <v>71.97</v>
      </c>
      <c r="M101" s="242">
        <f t="shared" ref="M101:M102" si="10">J101*K101</f>
        <v>144</v>
      </c>
      <c r="N101" s="243">
        <f t="shared" ref="N101:N102" si="11">L101*M101</f>
        <v>10363.68</v>
      </c>
      <c r="O101" s="193">
        <v>14</v>
      </c>
      <c r="P101" s="243">
        <v>714.98</v>
      </c>
      <c r="Q101" s="193"/>
      <c r="R101" s="243"/>
      <c r="S101" s="193"/>
      <c r="T101" s="243"/>
      <c r="U101" s="203" t="s">
        <v>128</v>
      </c>
      <c r="V101" s="115">
        <v>135</v>
      </c>
      <c r="W101" s="114">
        <v>42761</v>
      </c>
      <c r="X101" s="193" t="s">
        <v>126</v>
      </c>
      <c r="Y101" s="200">
        <v>43130</v>
      </c>
      <c r="Z101" s="193"/>
      <c r="AA101" s="193"/>
      <c r="AB101" s="22">
        <v>0</v>
      </c>
      <c r="AC101" s="170">
        <v>0</v>
      </c>
      <c r="AD101" s="209">
        <v>14</v>
      </c>
      <c r="AE101" s="194">
        <v>774.48</v>
      </c>
      <c r="AF101" s="209"/>
      <c r="AG101" s="194"/>
      <c r="AH101" s="209"/>
      <c r="AI101" s="194"/>
      <c r="AJ101" s="232"/>
      <c r="AK101" s="170">
        <f t="shared" si="5"/>
        <v>774.48</v>
      </c>
      <c r="AL101" s="272">
        <v>0</v>
      </c>
      <c r="AM101" s="212">
        <v>0</v>
      </c>
      <c r="AN101" s="269">
        <v>14</v>
      </c>
      <c r="AO101" s="217">
        <f t="shared" ref="AO101:AO102" si="12">AC101+AK101-AM101</f>
        <v>774.48</v>
      </c>
      <c r="AP101" s="232"/>
      <c r="AQ101" s="229"/>
      <c r="AR101" s="212">
        <v>55.32</v>
      </c>
      <c r="AS101" s="212">
        <f t="shared" si="3"/>
        <v>0</v>
      </c>
      <c r="AT101" s="247">
        <f t="shared" si="9"/>
        <v>8</v>
      </c>
      <c r="AU101" s="228">
        <f t="shared" si="4"/>
        <v>442.56</v>
      </c>
      <c r="AV101" s="279">
        <v>8</v>
      </c>
    </row>
    <row r="102" spans="1:48" s="62" customFormat="1" ht="26.25" customHeight="1">
      <c r="A102" s="59"/>
      <c r="B102" s="60"/>
      <c r="C102" s="60"/>
      <c r="D102" s="22"/>
      <c r="E102" s="79" t="s">
        <v>24</v>
      </c>
      <c r="F102" s="161" t="s">
        <v>61</v>
      </c>
      <c r="G102" s="222" t="s">
        <v>127</v>
      </c>
      <c r="H102" s="193" t="s">
        <v>91</v>
      </c>
      <c r="I102" s="193" t="s">
        <v>91</v>
      </c>
      <c r="J102" s="193"/>
      <c r="K102" s="193"/>
      <c r="L102" s="243"/>
      <c r="M102" s="242">
        <f t="shared" si="10"/>
        <v>0</v>
      </c>
      <c r="N102" s="243">
        <f t="shared" si="11"/>
        <v>0</v>
      </c>
      <c r="O102" s="193"/>
      <c r="P102" s="243"/>
      <c r="Q102" s="193"/>
      <c r="R102" s="243"/>
      <c r="S102" s="193"/>
      <c r="T102" s="243"/>
      <c r="U102" s="203" t="s">
        <v>171</v>
      </c>
      <c r="V102" s="115">
        <v>834</v>
      </c>
      <c r="W102" s="114">
        <v>43222</v>
      </c>
      <c r="X102" s="193" t="s">
        <v>162</v>
      </c>
      <c r="Y102" s="200">
        <v>43242</v>
      </c>
      <c r="Z102" s="193"/>
      <c r="AA102" s="193"/>
      <c r="AB102" s="22">
        <v>0</v>
      </c>
      <c r="AC102" s="170">
        <v>0</v>
      </c>
      <c r="AD102" s="209">
        <v>26</v>
      </c>
      <c r="AE102" s="194">
        <v>1438.32</v>
      </c>
      <c r="AF102" s="209"/>
      <c r="AG102" s="194"/>
      <c r="AH102" s="209"/>
      <c r="AI102" s="194"/>
      <c r="AJ102" s="232"/>
      <c r="AK102" s="170">
        <f t="shared" si="5"/>
        <v>1438.32</v>
      </c>
      <c r="AL102" s="272">
        <v>0</v>
      </c>
      <c r="AM102" s="212">
        <v>0</v>
      </c>
      <c r="AN102" s="269">
        <v>26</v>
      </c>
      <c r="AO102" s="217">
        <f t="shared" si="12"/>
        <v>1438.32</v>
      </c>
      <c r="AP102" s="232"/>
      <c r="AQ102" s="229"/>
      <c r="AR102" s="212">
        <v>55.32</v>
      </c>
      <c r="AS102" s="212">
        <f t="shared" si="3"/>
        <v>0</v>
      </c>
      <c r="AT102" s="247">
        <f t="shared" si="9"/>
        <v>26</v>
      </c>
      <c r="AU102" s="228">
        <f t="shared" si="4"/>
        <v>1438.32</v>
      </c>
      <c r="AV102" s="279">
        <v>26</v>
      </c>
    </row>
    <row r="103" spans="1:48" s="62" customFormat="1" ht="38.25">
      <c r="A103" s="59"/>
      <c r="B103" s="60"/>
      <c r="C103" s="60"/>
      <c r="D103" s="22"/>
      <c r="E103" s="79"/>
      <c r="F103" s="632" t="s">
        <v>339</v>
      </c>
      <c r="G103" s="222" t="s">
        <v>340</v>
      </c>
      <c r="H103" s="193"/>
      <c r="I103" s="193"/>
      <c r="J103" s="193"/>
      <c r="K103" s="193"/>
      <c r="L103" s="243"/>
      <c r="M103" s="242"/>
      <c r="N103" s="243"/>
      <c r="O103" s="193"/>
      <c r="P103" s="243"/>
      <c r="Q103" s="193"/>
      <c r="R103" s="243"/>
      <c r="S103" s="193"/>
      <c r="T103" s="243"/>
      <c r="U103" s="607" t="s">
        <v>341</v>
      </c>
      <c r="V103" s="608"/>
      <c r="W103" s="609"/>
      <c r="X103" s="610"/>
      <c r="Y103" s="611"/>
      <c r="Z103" s="610"/>
      <c r="AA103" s="610"/>
      <c r="AB103" s="22"/>
      <c r="AC103" s="170"/>
      <c r="AD103" s="209"/>
      <c r="AE103" s="194"/>
      <c r="AF103" s="209"/>
      <c r="AG103" s="194"/>
      <c r="AH103" s="209"/>
      <c r="AI103" s="194"/>
      <c r="AJ103" s="232">
        <v>37</v>
      </c>
      <c r="AK103" s="170"/>
      <c r="AL103" s="272"/>
      <c r="AM103" s="212"/>
      <c r="AN103" s="269"/>
      <c r="AO103" s="217"/>
      <c r="AP103" s="232"/>
      <c r="AQ103" s="229"/>
      <c r="AR103" s="212"/>
      <c r="AS103" s="212"/>
      <c r="AT103" s="247">
        <f t="shared" si="9"/>
        <v>37</v>
      </c>
      <c r="AU103" s="228"/>
      <c r="AV103" s="279">
        <v>37</v>
      </c>
    </row>
    <row r="104" spans="1:48" s="62" customFormat="1" ht="38.25">
      <c r="A104" s="59"/>
      <c r="B104" s="60"/>
      <c r="C104" s="60"/>
      <c r="D104" s="22"/>
      <c r="E104" s="79"/>
      <c r="F104" s="632" t="s">
        <v>339</v>
      </c>
      <c r="G104" s="222" t="s">
        <v>340</v>
      </c>
      <c r="H104" s="193"/>
      <c r="I104" s="193"/>
      <c r="J104" s="193"/>
      <c r="K104" s="193"/>
      <c r="L104" s="243"/>
      <c r="M104" s="242"/>
      <c r="N104" s="243"/>
      <c r="O104" s="193"/>
      <c r="P104" s="243"/>
      <c r="Q104" s="193"/>
      <c r="R104" s="243"/>
      <c r="S104" s="193"/>
      <c r="T104" s="243"/>
      <c r="U104" s="607" t="s">
        <v>345</v>
      </c>
      <c r="V104" s="608"/>
      <c r="W104" s="609"/>
      <c r="X104" s="610"/>
      <c r="Y104" s="611"/>
      <c r="Z104" s="610"/>
      <c r="AA104" s="610"/>
      <c r="AB104" s="22"/>
      <c r="AC104" s="170"/>
      <c r="AD104" s="209"/>
      <c r="AE104" s="194"/>
      <c r="AF104" s="209"/>
      <c r="AG104" s="194"/>
      <c r="AH104" s="209"/>
      <c r="AI104" s="194"/>
      <c r="AJ104" s="232">
        <v>36</v>
      </c>
      <c r="AK104" s="170"/>
      <c r="AL104" s="272"/>
      <c r="AM104" s="212"/>
      <c r="AN104" s="269"/>
      <c r="AO104" s="217"/>
      <c r="AP104" s="232"/>
      <c r="AQ104" s="229"/>
      <c r="AR104" s="212"/>
      <c r="AS104" s="212"/>
      <c r="AT104" s="247">
        <f t="shared" si="9"/>
        <v>36</v>
      </c>
      <c r="AU104" s="228"/>
      <c r="AV104" s="279">
        <v>36</v>
      </c>
    </row>
    <row r="105" spans="1:48" s="251" customFormat="1" ht="21" customHeight="1">
      <c r="A105" s="20" t="s">
        <v>11</v>
      </c>
      <c r="B105" s="20"/>
      <c r="C105" s="20"/>
      <c r="D105" s="695" t="s">
        <v>34</v>
      </c>
      <c r="E105" s="696"/>
      <c r="F105" s="697"/>
      <c r="G105" s="246"/>
      <c r="H105" s="246"/>
      <c r="I105" s="246"/>
      <c r="J105" s="246"/>
      <c r="K105" s="247">
        <f>SUM(K17:K102)</f>
        <v>24</v>
      </c>
      <c r="L105" s="248"/>
      <c r="M105" s="246"/>
      <c r="N105" s="249">
        <f>SUM(N17:N102)</f>
        <v>2156307.44</v>
      </c>
      <c r="O105" s="248"/>
      <c r="P105" s="249">
        <f>SUM(P17:P102)</f>
        <v>1298976.4000000001</v>
      </c>
      <c r="Q105" s="248"/>
      <c r="R105" s="249">
        <f>SUM(R17:R102)</f>
        <v>928054.79999999993</v>
      </c>
      <c r="S105" s="248"/>
      <c r="T105" s="249">
        <f>SUM(T17:T102)</f>
        <v>466648.98</v>
      </c>
      <c r="U105" s="291" t="s">
        <v>156</v>
      </c>
      <c r="V105" s="291" t="s">
        <v>156</v>
      </c>
      <c r="W105" s="291" t="s">
        <v>156</v>
      </c>
      <c r="X105" s="250" t="s">
        <v>156</v>
      </c>
      <c r="Y105" s="250" t="s">
        <v>156</v>
      </c>
      <c r="Z105" s="250" t="s">
        <v>156</v>
      </c>
      <c r="AA105" s="250" t="s">
        <v>156</v>
      </c>
      <c r="AB105" s="176">
        <f>SUM(AB17:AB48)</f>
        <v>140</v>
      </c>
      <c r="AC105" s="171">
        <f>SUM(AC17:AC76)</f>
        <v>77947.959999999992</v>
      </c>
      <c r="AD105" s="210">
        <f t="shared" ref="AD105:AQ105" si="13">SUM(AD17:AD102)</f>
        <v>4404</v>
      </c>
      <c r="AE105" s="195">
        <f t="shared" si="13"/>
        <v>925803.50999999989</v>
      </c>
      <c r="AF105" s="210">
        <f t="shared" si="13"/>
        <v>0</v>
      </c>
      <c r="AG105" s="195">
        <f t="shared" si="13"/>
        <v>0</v>
      </c>
      <c r="AH105" s="210">
        <f t="shared" si="13"/>
        <v>0</v>
      </c>
      <c r="AI105" s="195">
        <f t="shared" si="13"/>
        <v>0</v>
      </c>
      <c r="AJ105" s="210">
        <f>SUM(AJ17:AJ104)</f>
        <v>9348</v>
      </c>
      <c r="AK105" s="175">
        <f t="shared" si="13"/>
        <v>925803.50999999989</v>
      </c>
      <c r="AL105" s="213">
        <f t="shared" si="13"/>
        <v>742</v>
      </c>
      <c r="AM105" s="214">
        <f t="shared" si="13"/>
        <v>175808.55000000005</v>
      </c>
      <c r="AN105" s="218">
        <f t="shared" si="13"/>
        <v>3802</v>
      </c>
      <c r="AO105" s="219">
        <f t="shared" si="13"/>
        <v>811349.99000000011</v>
      </c>
      <c r="AP105" s="286">
        <f t="shared" si="13"/>
        <v>0</v>
      </c>
      <c r="AQ105" s="287">
        <f t="shared" si="13"/>
        <v>0</v>
      </c>
      <c r="AR105" s="226" t="s">
        <v>156</v>
      </c>
      <c r="AS105" s="226">
        <f>SUM(AS17:AS102)</f>
        <v>0</v>
      </c>
      <c r="AT105" s="227">
        <f>SUM(AT17:AT104)</f>
        <v>5966</v>
      </c>
      <c r="AU105" s="228">
        <f>SUM(AU17:AU102)</f>
        <v>291057.28000000003</v>
      </c>
      <c r="AV105" s="510">
        <f>SUM(AV17:AV104)</f>
        <v>5966</v>
      </c>
    </row>
    <row r="106" spans="1:48" s="336" customFormat="1" ht="21" customHeight="1">
      <c r="A106" s="20"/>
      <c r="B106" s="20"/>
      <c r="C106" s="20"/>
      <c r="D106" s="294"/>
      <c r="E106" s="294"/>
      <c r="F106" s="294"/>
      <c r="G106" s="330"/>
      <c r="H106" s="330"/>
      <c r="I106" s="330"/>
      <c r="J106" s="330"/>
      <c r="K106" s="331"/>
      <c r="L106" s="332"/>
      <c r="M106" s="330"/>
      <c r="N106" s="333"/>
      <c r="O106" s="332"/>
      <c r="P106" s="333"/>
      <c r="Q106" s="332"/>
      <c r="R106" s="333"/>
      <c r="S106" s="332"/>
      <c r="T106" s="333"/>
      <c r="U106" s="295"/>
      <c r="V106" s="295"/>
      <c r="W106" s="295"/>
      <c r="X106" s="295"/>
      <c r="Y106" s="295"/>
      <c r="Z106" s="295"/>
      <c r="AA106" s="295"/>
      <c r="AB106" s="296"/>
      <c r="AC106" s="297"/>
      <c r="AD106" s="296"/>
      <c r="AE106" s="297"/>
      <c r="AF106" s="296"/>
      <c r="AG106" s="297"/>
      <c r="AH106" s="296"/>
      <c r="AI106" s="297"/>
      <c r="AJ106" s="478"/>
      <c r="AK106" s="299"/>
      <c r="AL106" s="334"/>
      <c r="AM106" s="297"/>
      <c r="AN106" s="296"/>
      <c r="AO106" s="297"/>
      <c r="AP106" s="298"/>
      <c r="AQ106" s="335"/>
      <c r="AR106" s="333"/>
      <c r="AS106" s="333"/>
      <c r="AT106" s="331"/>
      <c r="AU106" s="333"/>
      <c r="AV106" s="331"/>
    </row>
    <row r="107" spans="1:48" s="336" customFormat="1" ht="21" hidden="1" customHeight="1">
      <c r="A107" s="20"/>
      <c r="B107" s="20"/>
      <c r="C107" s="20"/>
      <c r="D107" s="294"/>
      <c r="E107" s="294"/>
      <c r="F107" s="294"/>
      <c r="G107" s="330"/>
      <c r="H107" s="330"/>
      <c r="I107" s="330"/>
      <c r="J107" s="330"/>
      <c r="K107" s="331"/>
      <c r="L107" s="332"/>
      <c r="M107" s="330"/>
      <c r="N107" s="333"/>
      <c r="O107" s="332"/>
      <c r="P107" s="333"/>
      <c r="Q107" s="332"/>
      <c r="R107" s="333"/>
      <c r="S107" s="332"/>
      <c r="T107" s="333"/>
      <c r="U107" s="295"/>
      <c r="V107" s="295"/>
      <c r="W107" s="295"/>
      <c r="X107" s="295"/>
      <c r="Y107" s="295"/>
      <c r="Z107" s="295"/>
      <c r="AA107" s="295"/>
      <c r="AB107" s="296"/>
      <c r="AC107" s="297"/>
      <c r="AD107" s="296"/>
      <c r="AE107" s="297"/>
      <c r="AF107" s="296"/>
      <c r="AG107" s="297"/>
      <c r="AH107" s="296"/>
      <c r="AI107" s="297"/>
      <c r="AJ107" s="478"/>
      <c r="AK107" s="299"/>
      <c r="AL107" s="334"/>
      <c r="AM107" s="297"/>
      <c r="AN107" s="296"/>
      <c r="AO107" s="297"/>
      <c r="AP107" s="298"/>
      <c r="AQ107" s="335"/>
      <c r="AR107" s="333"/>
      <c r="AS107" s="333"/>
      <c r="AT107" s="331"/>
      <c r="AU107" s="333"/>
      <c r="AV107" s="331"/>
    </row>
    <row r="108" spans="1:48" s="292" customFormat="1" ht="20.25" hidden="1">
      <c r="A108" s="301"/>
      <c r="B108" s="301"/>
      <c r="C108" s="301"/>
      <c r="D108" s="302"/>
      <c r="E108" s="301"/>
      <c r="F108" s="303" t="s">
        <v>205</v>
      </c>
      <c r="G108" s="303"/>
      <c r="H108" s="303" t="s">
        <v>208</v>
      </c>
      <c r="I108" s="303"/>
      <c r="J108" s="304"/>
      <c r="K108" s="304"/>
      <c r="L108" s="304"/>
      <c r="M108" s="304"/>
      <c r="N108" s="304"/>
      <c r="O108" s="304"/>
      <c r="P108" s="304"/>
      <c r="Q108" s="304"/>
      <c r="R108" s="304"/>
      <c r="S108" s="304"/>
      <c r="T108" s="304"/>
      <c r="U108" s="303"/>
      <c r="V108" s="303"/>
      <c r="X108" s="303"/>
      <c r="Y108" s="303"/>
      <c r="Z108" s="303"/>
      <c r="AA108" s="303" t="s">
        <v>208</v>
      </c>
      <c r="AB108" s="303"/>
      <c r="AC108" s="303"/>
      <c r="AD108" s="303"/>
      <c r="AE108" s="303"/>
      <c r="AF108" s="303"/>
      <c r="AG108" s="303"/>
      <c r="AH108" s="303"/>
      <c r="AI108" s="303"/>
      <c r="AJ108" s="479"/>
      <c r="AK108" s="303"/>
      <c r="AL108" s="301"/>
      <c r="AM108" s="303"/>
      <c r="AN108" s="305"/>
      <c r="AO108" s="306"/>
      <c r="AP108" s="307"/>
      <c r="AQ108" s="302"/>
      <c r="AR108" s="308"/>
      <c r="AS108" s="308"/>
      <c r="AT108" s="302"/>
      <c r="AU108" s="302"/>
      <c r="AV108" s="302"/>
    </row>
    <row r="109" spans="1:48" s="292" customFormat="1" ht="20.25" hidden="1">
      <c r="A109" s="301"/>
      <c r="B109" s="301"/>
      <c r="C109" s="301"/>
      <c r="D109" s="302"/>
      <c r="E109" s="301"/>
      <c r="F109" s="303"/>
      <c r="G109" s="303"/>
      <c r="H109" s="303"/>
      <c r="I109" s="303"/>
      <c r="J109" s="304"/>
      <c r="K109" s="304"/>
      <c r="L109" s="304"/>
      <c r="M109" s="304"/>
      <c r="N109" s="304"/>
      <c r="O109" s="304"/>
      <c r="P109" s="304"/>
      <c r="Q109" s="304"/>
      <c r="R109" s="304"/>
      <c r="S109" s="304"/>
      <c r="T109" s="304"/>
      <c r="U109" s="303"/>
      <c r="V109" s="303"/>
      <c r="X109" s="303"/>
      <c r="Y109" s="303"/>
      <c r="Z109" s="303"/>
      <c r="AA109" s="303"/>
      <c r="AB109" s="303"/>
      <c r="AC109" s="303"/>
      <c r="AD109" s="303"/>
      <c r="AE109" s="303"/>
      <c r="AF109" s="303"/>
      <c r="AG109" s="303"/>
      <c r="AH109" s="303"/>
      <c r="AI109" s="303"/>
      <c r="AJ109" s="479"/>
      <c r="AK109" s="303"/>
      <c r="AL109" s="301"/>
      <c r="AM109" s="303"/>
      <c r="AN109" s="305"/>
      <c r="AO109" s="306"/>
      <c r="AP109" s="307"/>
      <c r="AQ109" s="302"/>
      <c r="AR109" s="308"/>
      <c r="AS109" s="308"/>
      <c r="AT109" s="302"/>
      <c r="AU109" s="302"/>
      <c r="AV109" s="302"/>
    </row>
    <row r="110" spans="1:48" s="292" customFormat="1" ht="20.25" hidden="1">
      <c r="A110" s="301"/>
      <c r="B110" s="301"/>
      <c r="C110" s="301"/>
      <c r="D110" s="302"/>
      <c r="E110" s="301"/>
      <c r="F110" s="303"/>
      <c r="G110" s="303"/>
      <c r="H110" s="303"/>
      <c r="I110" s="303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3"/>
      <c r="V110" s="303"/>
      <c r="X110" s="303"/>
      <c r="Y110" s="303"/>
      <c r="Z110" s="303"/>
      <c r="AA110" s="303"/>
      <c r="AB110" s="303"/>
      <c r="AC110" s="303"/>
      <c r="AD110" s="303"/>
      <c r="AE110" s="303"/>
      <c r="AF110" s="303"/>
      <c r="AG110" s="303"/>
      <c r="AH110" s="303"/>
      <c r="AI110" s="303"/>
      <c r="AJ110" s="479"/>
      <c r="AK110" s="303"/>
      <c r="AL110" s="301"/>
      <c r="AM110" s="303"/>
      <c r="AN110" s="305"/>
      <c r="AO110" s="306"/>
      <c r="AP110" s="307"/>
      <c r="AQ110" s="302"/>
      <c r="AR110" s="308"/>
      <c r="AS110" s="308"/>
      <c r="AT110" s="302"/>
      <c r="AU110" s="302"/>
      <c r="AV110" s="302"/>
    </row>
    <row r="111" spans="1:48" s="292" customFormat="1" ht="15" hidden="1" customHeight="1">
      <c r="A111" s="309"/>
      <c r="B111" s="309"/>
      <c r="C111" s="309"/>
      <c r="D111" s="302"/>
      <c r="E111" s="309"/>
      <c r="F111" s="310"/>
      <c r="G111" s="310"/>
      <c r="H111" s="308"/>
      <c r="I111" s="308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8"/>
      <c r="V111" s="311"/>
      <c r="AA111" s="311"/>
      <c r="AJ111" s="480"/>
      <c r="AK111" s="312"/>
      <c r="AL111" s="309"/>
      <c r="AM111" s="313"/>
      <c r="AN111" s="305"/>
      <c r="AO111" s="306"/>
      <c r="AP111" s="307"/>
      <c r="AQ111" s="302"/>
      <c r="AR111" s="308"/>
      <c r="AS111" s="308"/>
      <c r="AT111" s="302"/>
      <c r="AU111" s="302"/>
      <c r="AV111" s="302"/>
    </row>
    <row r="112" spans="1:48" s="292" customFormat="1" ht="18" hidden="1" customHeight="1">
      <c r="A112" s="314" t="s">
        <v>12</v>
      </c>
      <c r="B112" s="314"/>
      <c r="C112" s="314"/>
      <c r="D112" s="315"/>
      <c r="E112" s="314"/>
      <c r="F112" s="316" t="s">
        <v>206</v>
      </c>
      <c r="G112" s="316"/>
      <c r="H112" s="736" t="s">
        <v>209</v>
      </c>
      <c r="I112" s="736"/>
      <c r="J112" s="736"/>
      <c r="K112" s="317"/>
      <c r="L112" s="317"/>
      <c r="M112" s="317"/>
      <c r="N112" s="317"/>
      <c r="O112" s="317"/>
      <c r="P112" s="317"/>
      <c r="Q112" s="317"/>
      <c r="R112" s="317"/>
      <c r="S112" s="317"/>
      <c r="T112" s="317"/>
      <c r="U112" s="318"/>
      <c r="V112" s="319"/>
      <c r="X112" s="303"/>
      <c r="Y112" s="316"/>
      <c r="Z112" s="316"/>
      <c r="AA112" s="320" t="s">
        <v>209</v>
      </c>
      <c r="AB112" s="316"/>
      <c r="AC112" s="316"/>
      <c r="AD112" s="316"/>
      <c r="AE112" s="316"/>
      <c r="AF112" s="316"/>
      <c r="AG112" s="316"/>
      <c r="AH112" s="316"/>
      <c r="AI112" s="316"/>
      <c r="AJ112" s="481"/>
      <c r="AK112" s="316"/>
      <c r="AL112" s="314"/>
      <c r="AM112" s="316"/>
      <c r="AN112" s="314"/>
      <c r="AO112" s="321"/>
      <c r="AP112" s="307"/>
      <c r="AQ112" s="302"/>
      <c r="AR112" s="308"/>
      <c r="AS112" s="308"/>
      <c r="AT112" s="302"/>
      <c r="AU112" s="302"/>
      <c r="AV112" s="302"/>
    </row>
    <row r="113" spans="1:48" s="62" customFormat="1" ht="18.75" hidden="1">
      <c r="A113" s="11"/>
      <c r="B113" s="11"/>
      <c r="C113" s="11"/>
      <c r="D113" s="255"/>
      <c r="E113" s="11"/>
      <c r="F113" s="322"/>
      <c r="G113" s="322"/>
      <c r="H113" s="322"/>
      <c r="I113" s="322"/>
      <c r="J113" s="323"/>
      <c r="K113" s="323"/>
      <c r="L113" s="323"/>
      <c r="M113" s="323"/>
      <c r="N113" s="323"/>
      <c r="O113" s="323"/>
      <c r="P113" s="323"/>
      <c r="Q113" s="323"/>
      <c r="R113" s="323"/>
      <c r="S113" s="323"/>
      <c r="T113" s="323"/>
      <c r="U113" s="322"/>
      <c r="V113" s="322"/>
      <c r="W113" s="322"/>
      <c r="X113" s="322"/>
      <c r="Y113" s="322"/>
      <c r="Z113" s="322"/>
      <c r="AA113" s="322"/>
      <c r="AB113" s="322"/>
      <c r="AC113" s="322"/>
      <c r="AD113" s="322"/>
      <c r="AE113" s="322"/>
      <c r="AF113" s="322"/>
      <c r="AG113" s="322"/>
      <c r="AH113" s="322"/>
      <c r="AI113" s="322"/>
      <c r="AJ113" s="482"/>
      <c r="AK113" s="322"/>
      <c r="AL113" s="324"/>
      <c r="AM113" s="322"/>
      <c r="AN113" s="281"/>
      <c r="AO113" s="325"/>
      <c r="AP113" s="326"/>
      <c r="AQ113" s="649"/>
      <c r="AR113" s="255"/>
      <c r="AS113" s="255"/>
      <c r="AT113" s="649"/>
      <c r="AU113" s="649"/>
      <c r="AV113" s="649"/>
    </row>
    <row r="114" spans="1:48" s="103" customFormat="1" ht="57.75" hidden="1" customHeight="1">
      <c r="A114" s="11"/>
      <c r="B114" s="11"/>
      <c r="C114" s="11"/>
      <c r="D114" s="255"/>
      <c r="E114" s="720" t="s">
        <v>207</v>
      </c>
      <c r="F114" s="720"/>
      <c r="G114" s="327"/>
      <c r="H114" s="328"/>
      <c r="I114" s="328"/>
      <c r="J114" s="328"/>
      <c r="K114" s="328"/>
      <c r="L114" s="328"/>
      <c r="M114" s="328"/>
      <c r="N114" s="328"/>
      <c r="O114" s="328"/>
      <c r="P114" s="328"/>
      <c r="Q114" s="328"/>
      <c r="R114" s="328"/>
      <c r="S114" s="328"/>
      <c r="T114" s="328"/>
      <c r="U114" s="328"/>
      <c r="V114" s="329"/>
      <c r="W114" s="329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1"/>
      <c r="AI114" s="11"/>
      <c r="AJ114" s="483"/>
      <c r="AK114" s="11"/>
      <c r="AL114" s="281"/>
      <c r="AM114" s="11"/>
      <c r="AN114" s="281"/>
      <c r="AP114" s="326"/>
      <c r="AQ114" s="649"/>
      <c r="AR114" s="255"/>
      <c r="AS114" s="255"/>
      <c r="AT114" s="649"/>
      <c r="AU114" s="649"/>
      <c r="AV114" s="649"/>
    </row>
  </sheetData>
  <mergeCells count="40">
    <mergeCell ref="AT15:AU15"/>
    <mergeCell ref="AB14:AC15"/>
    <mergeCell ref="AD14:AI14"/>
    <mergeCell ref="AF15:AG15"/>
    <mergeCell ref="AH15:AI15"/>
    <mergeCell ref="X14:Y15"/>
    <mergeCell ref="Z14:AA15"/>
    <mergeCell ref="O14:T14"/>
    <mergeCell ref="D105:F105"/>
    <mergeCell ref="H112:J112"/>
    <mergeCell ref="E114:F114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J14:AK15"/>
    <mergeCell ref="AL14:AM15"/>
    <mergeCell ref="D11:AV11"/>
    <mergeCell ref="E6:AT6"/>
    <mergeCell ref="D7:AV7"/>
    <mergeCell ref="D8:AV8"/>
    <mergeCell ref="D9:AV9"/>
    <mergeCell ref="D10:AV10"/>
    <mergeCell ref="U14:U16"/>
    <mergeCell ref="V14:W15"/>
    <mergeCell ref="AQ14:AS15"/>
    <mergeCell ref="AT14:AV14"/>
    <mergeCell ref="O15:P15"/>
    <mergeCell ref="Q15:R15"/>
    <mergeCell ref="S15:T15"/>
    <mergeCell ref="AD15:AE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16"/>
  <sheetViews>
    <sheetView view="pageBreakPreview" topLeftCell="C78" zoomScale="70" zoomScaleSheetLayoutView="70" workbookViewId="0">
      <selection activeCell="AJ91" sqref="AJ91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55"/>
      <c r="AR1" s="255"/>
      <c r="AS1" s="255"/>
      <c r="AT1" s="655"/>
      <c r="AU1" s="655"/>
      <c r="AV1" s="655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55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55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359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55"/>
      <c r="AR12" s="255"/>
      <c r="AS12" s="255"/>
      <c r="AT12" s="656"/>
      <c r="AU12" s="656"/>
      <c r="AV12" s="656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360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56"/>
      <c r="D16" s="748"/>
      <c r="E16" s="685"/>
      <c r="F16" s="685"/>
      <c r="G16" s="202"/>
      <c r="H16" s="201"/>
      <c r="I16" s="201"/>
      <c r="J16" s="241"/>
      <c r="K16" s="241"/>
      <c r="L16" s="241"/>
      <c r="M16" s="654" t="s">
        <v>77</v>
      </c>
      <c r="N16" s="654" t="s">
        <v>78</v>
      </c>
      <c r="O16" s="654" t="s">
        <v>77</v>
      </c>
      <c r="P16" s="654" t="s">
        <v>78</v>
      </c>
      <c r="Q16" s="654" t="s">
        <v>77</v>
      </c>
      <c r="R16" s="654" t="s">
        <v>78</v>
      </c>
      <c r="S16" s="654" t="s">
        <v>77</v>
      </c>
      <c r="T16" s="654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53" t="s">
        <v>77</v>
      </c>
      <c r="AE16" s="653" t="s">
        <v>78</v>
      </c>
      <c r="AF16" s="205" t="s">
        <v>77</v>
      </c>
      <c r="AG16" s="205" t="s">
        <v>78</v>
      </c>
      <c r="AH16" s="653" t="s">
        <v>77</v>
      </c>
      <c r="AI16" s="653" t="s">
        <v>78</v>
      </c>
      <c r="AJ16" s="207" t="s">
        <v>96</v>
      </c>
      <c r="AK16" s="96" t="s">
        <v>19</v>
      </c>
      <c r="AL16" s="651" t="s">
        <v>96</v>
      </c>
      <c r="AM16" s="651" t="s">
        <v>19</v>
      </c>
      <c r="AN16" s="216" t="s">
        <v>96</v>
      </c>
      <c r="AO16" s="216" t="s">
        <v>19</v>
      </c>
      <c r="AP16" s="207" t="s">
        <v>96</v>
      </c>
      <c r="AQ16" s="651" t="s">
        <v>96</v>
      </c>
      <c r="AR16" s="651" t="s">
        <v>107</v>
      </c>
      <c r="AS16" s="651" t="s">
        <v>19</v>
      </c>
      <c r="AT16" s="652" t="s">
        <v>96</v>
      </c>
      <c r="AU16" s="652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77" si="0">J18*K18</f>
        <v>0</v>
      </c>
      <c r="N18" s="276">
        <f t="shared" ref="N18:N77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77" si="2">AC18+AK18-AM18</f>
        <v>1026.1600000000001</v>
      </c>
      <c r="AP18" s="233"/>
      <c r="AQ18" s="233"/>
      <c r="AR18" s="170">
        <v>1026.1600000000001</v>
      </c>
      <c r="AS18" s="170">
        <f t="shared" ref="AS18:AS104" si="3">AQ18*AR18</f>
        <v>0</v>
      </c>
      <c r="AT18" s="233">
        <f>AV18</f>
        <v>0</v>
      </c>
      <c r="AU18" s="386">
        <f t="shared" ref="AU18:AU104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104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88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58</v>
      </c>
      <c r="AU34" s="228"/>
      <c r="AV34" s="279">
        <v>58</v>
      </c>
    </row>
    <row r="35" spans="1:48" s="62" customFormat="1" ht="31.5">
      <c r="A35" s="59"/>
      <c r="B35" s="60"/>
      <c r="C35" s="60"/>
      <c r="D35" s="22"/>
      <c r="E35" s="79" t="s">
        <v>24</v>
      </c>
      <c r="F35" s="51" t="s">
        <v>53</v>
      </c>
      <c r="G35" s="275" t="s">
        <v>168</v>
      </c>
      <c r="H35" s="115" t="s">
        <v>91</v>
      </c>
      <c r="I35" s="115" t="s">
        <v>91</v>
      </c>
      <c r="J35" s="115">
        <v>360</v>
      </c>
      <c r="K35" s="115">
        <v>2</v>
      </c>
      <c r="L35" s="276">
        <v>533.03</v>
      </c>
      <c r="M35" s="277">
        <f>J35*K35</f>
        <v>720</v>
      </c>
      <c r="N35" s="276">
        <f>L35*M35</f>
        <v>383781.6</v>
      </c>
      <c r="O35" s="115">
        <v>180</v>
      </c>
      <c r="P35" s="276">
        <v>87354</v>
      </c>
      <c r="Q35" s="115">
        <v>720</v>
      </c>
      <c r="R35" s="276">
        <v>475977.6</v>
      </c>
      <c r="S35" s="115">
        <v>420</v>
      </c>
      <c r="T35" s="276">
        <v>223872.6</v>
      </c>
      <c r="U35" s="278" t="s">
        <v>268</v>
      </c>
      <c r="V35" s="115">
        <v>834</v>
      </c>
      <c r="W35" s="114">
        <v>43222</v>
      </c>
      <c r="X35" s="115" t="s">
        <v>162</v>
      </c>
      <c r="Y35" s="221">
        <v>43242</v>
      </c>
      <c r="Z35" s="115"/>
      <c r="AA35" s="115"/>
      <c r="AB35" s="35">
        <v>0</v>
      </c>
      <c r="AC35" s="170">
        <v>0</v>
      </c>
      <c r="AD35" s="208">
        <v>39</v>
      </c>
      <c r="AE35" s="170">
        <v>20468.37</v>
      </c>
      <c r="AF35" s="208"/>
      <c r="AG35" s="170"/>
      <c r="AH35" s="208"/>
      <c r="AI35" s="170"/>
      <c r="AJ35" s="233">
        <v>2</v>
      </c>
      <c r="AK35" s="170">
        <f t="shared" si="5"/>
        <v>20468.37</v>
      </c>
      <c r="AL35" s="270">
        <v>0</v>
      </c>
      <c r="AM35" s="170">
        <v>0</v>
      </c>
      <c r="AN35" s="270">
        <v>39</v>
      </c>
      <c r="AO35" s="170">
        <f t="shared" si="2"/>
        <v>20468.37</v>
      </c>
      <c r="AP35" s="233"/>
      <c r="AQ35" s="233"/>
      <c r="AR35" s="170">
        <v>524.83000000000004</v>
      </c>
      <c r="AS35" s="170">
        <f t="shared" si="3"/>
        <v>0</v>
      </c>
      <c r="AT35" s="233">
        <f t="shared" si="6"/>
        <v>0</v>
      </c>
      <c r="AU35" s="386">
        <f t="shared" si="4"/>
        <v>0</v>
      </c>
      <c r="AV35" s="233">
        <v>0</v>
      </c>
    </row>
    <row r="36" spans="1:48" s="62" customFormat="1" ht="31.5">
      <c r="A36" s="59"/>
      <c r="B36" s="60"/>
      <c r="C36" s="60"/>
      <c r="D36" s="22"/>
      <c r="E36" s="79"/>
      <c r="F36" s="51" t="s">
        <v>53</v>
      </c>
      <c r="G36" s="275" t="s">
        <v>168</v>
      </c>
      <c r="H36" s="115"/>
      <c r="I36" s="115"/>
      <c r="J36" s="115"/>
      <c r="K36" s="115"/>
      <c r="L36" s="276"/>
      <c r="M36" s="277"/>
      <c r="N36" s="276"/>
      <c r="O36" s="115"/>
      <c r="P36" s="276"/>
      <c r="Q36" s="115"/>
      <c r="R36" s="276"/>
      <c r="S36" s="115"/>
      <c r="T36" s="276"/>
      <c r="U36" s="278" t="s">
        <v>268</v>
      </c>
      <c r="V36" s="115"/>
      <c r="W36" s="114"/>
      <c r="X36" s="115"/>
      <c r="Y36" s="221"/>
      <c r="Z36" s="115"/>
      <c r="AA36" s="115"/>
      <c r="AB36" s="35"/>
      <c r="AC36" s="170"/>
      <c r="AD36" s="208"/>
      <c r="AE36" s="170"/>
      <c r="AF36" s="208"/>
      <c r="AG36" s="170"/>
      <c r="AH36" s="208"/>
      <c r="AI36" s="170"/>
      <c r="AJ36" s="233">
        <v>46</v>
      </c>
      <c r="AK36" s="170"/>
      <c r="AL36" s="270"/>
      <c r="AM36" s="170"/>
      <c r="AN36" s="270"/>
      <c r="AO36" s="170"/>
      <c r="AP36" s="233"/>
      <c r="AQ36" s="233"/>
      <c r="AR36" s="170"/>
      <c r="AS36" s="170"/>
      <c r="AT36" s="233">
        <f t="shared" si="6"/>
        <v>0</v>
      </c>
      <c r="AU36" s="386"/>
      <c r="AV36" s="233">
        <v>0</v>
      </c>
    </row>
    <row r="37" spans="1:48" s="62" customFormat="1" ht="31.5">
      <c r="A37" s="59"/>
      <c r="B37" s="60"/>
      <c r="C37" s="60"/>
      <c r="D37" s="22"/>
      <c r="E37" s="79"/>
      <c r="F37" s="179" t="s">
        <v>53</v>
      </c>
      <c r="G37" s="222" t="s">
        <v>168</v>
      </c>
      <c r="H37" s="193"/>
      <c r="I37" s="193"/>
      <c r="J37" s="193"/>
      <c r="K37" s="193"/>
      <c r="L37" s="243"/>
      <c r="M37" s="242"/>
      <c r="N37" s="243"/>
      <c r="O37" s="193"/>
      <c r="P37" s="243"/>
      <c r="Q37" s="193"/>
      <c r="R37" s="243"/>
      <c r="S37" s="193"/>
      <c r="T37" s="243"/>
      <c r="U37" s="203" t="s">
        <v>307</v>
      </c>
      <c r="V37" s="115"/>
      <c r="W37" s="114"/>
      <c r="X37" s="193"/>
      <c r="Y37" s="200"/>
      <c r="Z37" s="193"/>
      <c r="AA37" s="193"/>
      <c r="AB37" s="35"/>
      <c r="AC37" s="170"/>
      <c r="AD37" s="209"/>
      <c r="AE37" s="194"/>
      <c r="AF37" s="209"/>
      <c r="AG37" s="194"/>
      <c r="AH37" s="209"/>
      <c r="AI37" s="194"/>
      <c r="AJ37" s="232">
        <v>482</v>
      </c>
      <c r="AK37" s="170"/>
      <c r="AL37" s="272"/>
      <c r="AM37" s="212"/>
      <c r="AN37" s="269"/>
      <c r="AO37" s="217"/>
      <c r="AP37" s="232"/>
      <c r="AQ37" s="229"/>
      <c r="AR37" s="212"/>
      <c r="AS37" s="212"/>
      <c r="AT37" s="247">
        <f t="shared" si="6"/>
        <v>417</v>
      </c>
      <c r="AU37" s="228"/>
      <c r="AV37" s="279">
        <v>417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313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316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148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58</v>
      </c>
      <c r="AU39" s="228"/>
      <c r="AV39" s="279">
        <v>58</v>
      </c>
    </row>
    <row r="40" spans="1:48" s="62" customFormat="1" ht="26.25" customHeight="1">
      <c r="A40" s="59"/>
      <c r="B40" s="60"/>
      <c r="C40" s="60"/>
      <c r="D40" s="22"/>
      <c r="E40" s="79"/>
      <c r="F40" s="51" t="s">
        <v>43</v>
      </c>
      <c r="G40" s="275" t="s">
        <v>163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260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50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26.25" customHeight="1">
      <c r="A41" s="59"/>
      <c r="B41" s="60"/>
      <c r="C41" s="60"/>
      <c r="D41" s="22"/>
      <c r="E41" s="79"/>
      <c r="F41" s="51" t="s">
        <v>43</v>
      </c>
      <c r="G41" s="275" t="s">
        <v>163</v>
      </c>
      <c r="H41" s="115"/>
      <c r="I41" s="115"/>
      <c r="J41" s="115"/>
      <c r="K41" s="115"/>
      <c r="L41" s="276"/>
      <c r="M41" s="277"/>
      <c r="N41" s="276"/>
      <c r="O41" s="115"/>
      <c r="P41" s="276"/>
      <c r="Q41" s="115"/>
      <c r="R41" s="276"/>
      <c r="S41" s="115"/>
      <c r="T41" s="276"/>
      <c r="U41" s="278" t="s">
        <v>261</v>
      </c>
      <c r="V41" s="115"/>
      <c r="W41" s="114"/>
      <c r="X41" s="115"/>
      <c r="Y41" s="221"/>
      <c r="Z41" s="115"/>
      <c r="AA41" s="115"/>
      <c r="AB41" s="35"/>
      <c r="AC41" s="170"/>
      <c r="AD41" s="208"/>
      <c r="AE41" s="170"/>
      <c r="AF41" s="208"/>
      <c r="AG41" s="170"/>
      <c r="AH41" s="208"/>
      <c r="AI41" s="170"/>
      <c r="AJ41" s="233">
        <v>60</v>
      </c>
      <c r="AK41" s="170"/>
      <c r="AL41" s="270"/>
      <c r="AM41" s="170"/>
      <c r="AN41" s="270"/>
      <c r="AO41" s="170"/>
      <c r="AP41" s="233"/>
      <c r="AQ41" s="233"/>
      <c r="AR41" s="170"/>
      <c r="AS41" s="170"/>
      <c r="AT41" s="233">
        <f t="shared" si="6"/>
        <v>0</v>
      </c>
      <c r="AU41" s="386"/>
      <c r="AV41" s="233">
        <v>0</v>
      </c>
    </row>
    <row r="42" spans="1:48" s="62" customFormat="1" ht="26.25" customHeight="1">
      <c r="A42" s="59"/>
      <c r="B42" s="60"/>
      <c r="C42" s="60"/>
      <c r="D42" s="22"/>
      <c r="E42" s="79"/>
      <c r="F42" s="51" t="s">
        <v>43</v>
      </c>
      <c r="G42" s="275" t="s">
        <v>163</v>
      </c>
      <c r="H42" s="115"/>
      <c r="I42" s="115"/>
      <c r="J42" s="115"/>
      <c r="K42" s="115"/>
      <c r="L42" s="276"/>
      <c r="M42" s="277"/>
      <c r="N42" s="276"/>
      <c r="O42" s="115"/>
      <c r="P42" s="276"/>
      <c r="Q42" s="115"/>
      <c r="R42" s="276"/>
      <c r="S42" s="115"/>
      <c r="T42" s="276"/>
      <c r="U42" s="278" t="s">
        <v>282</v>
      </c>
      <c r="V42" s="115"/>
      <c r="W42" s="114"/>
      <c r="X42" s="115"/>
      <c r="Y42" s="221"/>
      <c r="Z42" s="115"/>
      <c r="AA42" s="115"/>
      <c r="AB42" s="35"/>
      <c r="AC42" s="170"/>
      <c r="AD42" s="208"/>
      <c r="AE42" s="170"/>
      <c r="AF42" s="208"/>
      <c r="AG42" s="170"/>
      <c r="AH42" s="208"/>
      <c r="AI42" s="170"/>
      <c r="AJ42" s="233">
        <v>45</v>
      </c>
      <c r="AK42" s="170"/>
      <c r="AL42" s="270"/>
      <c r="AM42" s="170"/>
      <c r="AN42" s="270"/>
      <c r="AO42" s="170"/>
      <c r="AP42" s="233"/>
      <c r="AQ42" s="233"/>
      <c r="AR42" s="170"/>
      <c r="AS42" s="170"/>
      <c r="AT42" s="233">
        <f t="shared" si="6"/>
        <v>0</v>
      </c>
      <c r="AU42" s="386"/>
      <c r="AV42" s="233">
        <v>0</v>
      </c>
    </row>
    <row r="43" spans="1:48" s="62" customFormat="1" ht="26.25" customHeight="1">
      <c r="A43" s="59"/>
      <c r="B43" s="60"/>
      <c r="C43" s="60"/>
      <c r="D43" s="22"/>
      <c r="E43" s="79"/>
      <c r="F43" s="162" t="s">
        <v>43</v>
      </c>
      <c r="G43" s="222" t="s">
        <v>163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308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25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15</v>
      </c>
      <c r="AU43" s="228"/>
      <c r="AV43" s="279">
        <v>15</v>
      </c>
    </row>
    <row r="44" spans="1:48" s="62" customFormat="1" ht="26.25" customHeight="1">
      <c r="A44" s="59"/>
      <c r="B44" s="60"/>
      <c r="C44" s="60"/>
      <c r="D44" s="22"/>
      <c r="E44" s="79"/>
      <c r="F44" s="51" t="s">
        <v>43</v>
      </c>
      <c r="G44" s="275" t="s">
        <v>163</v>
      </c>
      <c r="H44" s="115"/>
      <c r="I44" s="115"/>
      <c r="J44" s="115"/>
      <c r="K44" s="115"/>
      <c r="L44" s="276"/>
      <c r="M44" s="277"/>
      <c r="N44" s="276"/>
      <c r="O44" s="115"/>
      <c r="P44" s="276"/>
      <c r="Q44" s="115"/>
      <c r="R44" s="276"/>
      <c r="S44" s="115"/>
      <c r="T44" s="276"/>
      <c r="U44" s="278" t="s">
        <v>317</v>
      </c>
      <c r="V44" s="115"/>
      <c r="W44" s="114"/>
      <c r="X44" s="115"/>
      <c r="Y44" s="221"/>
      <c r="Z44" s="115"/>
      <c r="AA44" s="115"/>
      <c r="AB44" s="35"/>
      <c r="AC44" s="170"/>
      <c r="AD44" s="208"/>
      <c r="AE44" s="170"/>
      <c r="AF44" s="208"/>
      <c r="AG44" s="170"/>
      <c r="AH44" s="208"/>
      <c r="AI44" s="170"/>
      <c r="AJ44" s="233">
        <v>5</v>
      </c>
      <c r="AK44" s="170"/>
      <c r="AL44" s="270"/>
      <c r="AM44" s="170"/>
      <c r="AN44" s="270"/>
      <c r="AO44" s="170"/>
      <c r="AP44" s="233"/>
      <c r="AQ44" s="233"/>
      <c r="AR44" s="170"/>
      <c r="AS44" s="170"/>
      <c r="AT44" s="233">
        <f t="shared" si="6"/>
        <v>0</v>
      </c>
      <c r="AU44" s="386"/>
      <c r="AV44" s="233">
        <v>0</v>
      </c>
    </row>
    <row r="45" spans="1:48" s="62" customFormat="1" ht="26.25" customHeight="1">
      <c r="A45" s="59"/>
      <c r="B45" s="60"/>
      <c r="C45" s="60"/>
      <c r="D45" s="22"/>
      <c r="E45" s="79"/>
      <c r="F45" s="162" t="s">
        <v>43</v>
      </c>
      <c r="G45" s="222" t="s">
        <v>163</v>
      </c>
      <c r="H45" s="193"/>
      <c r="I45" s="193"/>
      <c r="J45" s="193"/>
      <c r="K45" s="193"/>
      <c r="L45" s="243"/>
      <c r="M45" s="242"/>
      <c r="N45" s="243"/>
      <c r="O45" s="193"/>
      <c r="P45" s="243"/>
      <c r="Q45" s="193"/>
      <c r="R45" s="243"/>
      <c r="S45" s="193"/>
      <c r="T45" s="243"/>
      <c r="U45" s="203" t="s">
        <v>317</v>
      </c>
      <c r="V45" s="115"/>
      <c r="W45" s="114"/>
      <c r="X45" s="193"/>
      <c r="Y45" s="200"/>
      <c r="Z45" s="193"/>
      <c r="AA45" s="193"/>
      <c r="AB45" s="35"/>
      <c r="AC45" s="170"/>
      <c r="AD45" s="209"/>
      <c r="AE45" s="194"/>
      <c r="AF45" s="209"/>
      <c r="AG45" s="194"/>
      <c r="AH45" s="209"/>
      <c r="AI45" s="194"/>
      <c r="AJ45" s="232">
        <v>35</v>
      </c>
      <c r="AK45" s="170"/>
      <c r="AL45" s="272"/>
      <c r="AM45" s="212"/>
      <c r="AN45" s="269"/>
      <c r="AO45" s="217"/>
      <c r="AP45" s="232"/>
      <c r="AQ45" s="229"/>
      <c r="AR45" s="212"/>
      <c r="AS45" s="212"/>
      <c r="AT45" s="247">
        <f t="shared" si="6"/>
        <v>35</v>
      </c>
      <c r="AU45" s="228"/>
      <c r="AV45" s="279">
        <v>35</v>
      </c>
    </row>
    <row r="46" spans="1:48" s="62" customFormat="1" ht="26.25" customHeight="1">
      <c r="A46" s="59"/>
      <c r="B46" s="60"/>
      <c r="C46" s="60"/>
      <c r="D46" s="22"/>
      <c r="E46" s="79"/>
      <c r="F46" s="162" t="s">
        <v>43</v>
      </c>
      <c r="G46" s="222" t="s">
        <v>163</v>
      </c>
      <c r="H46" s="193"/>
      <c r="I46" s="193"/>
      <c r="J46" s="193"/>
      <c r="K46" s="193"/>
      <c r="L46" s="243"/>
      <c r="M46" s="242"/>
      <c r="N46" s="243"/>
      <c r="O46" s="193"/>
      <c r="P46" s="243"/>
      <c r="Q46" s="193"/>
      <c r="R46" s="243"/>
      <c r="S46" s="193"/>
      <c r="T46" s="243"/>
      <c r="U46" s="203" t="s">
        <v>337</v>
      </c>
      <c r="V46" s="115"/>
      <c r="W46" s="114"/>
      <c r="X46" s="193"/>
      <c r="Y46" s="200"/>
      <c r="Z46" s="193"/>
      <c r="AA46" s="193"/>
      <c r="AB46" s="35"/>
      <c r="AC46" s="170"/>
      <c r="AD46" s="209"/>
      <c r="AE46" s="194"/>
      <c r="AF46" s="209"/>
      <c r="AG46" s="194"/>
      <c r="AH46" s="209"/>
      <c r="AI46" s="194"/>
      <c r="AJ46" s="232">
        <v>20</v>
      </c>
      <c r="AK46" s="170"/>
      <c r="AL46" s="272"/>
      <c r="AM46" s="212"/>
      <c r="AN46" s="269"/>
      <c r="AO46" s="217"/>
      <c r="AP46" s="232"/>
      <c r="AQ46" s="229"/>
      <c r="AR46" s="212"/>
      <c r="AS46" s="212"/>
      <c r="AT46" s="247">
        <f t="shared" si="6"/>
        <v>20</v>
      </c>
      <c r="AU46" s="228"/>
      <c r="AV46" s="279">
        <v>20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337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25</v>
      </c>
      <c r="AU47" s="228"/>
      <c r="AV47" s="279">
        <v>25</v>
      </c>
    </row>
    <row r="48" spans="1:48" s="62" customFormat="1" ht="24" customHeight="1">
      <c r="A48" s="59"/>
      <c r="B48" s="60"/>
      <c r="C48" s="60"/>
      <c r="D48" s="22"/>
      <c r="E48" s="79" t="s">
        <v>24</v>
      </c>
      <c r="F48" s="51" t="s">
        <v>269</v>
      </c>
      <c r="G48" s="275" t="s">
        <v>152</v>
      </c>
      <c r="H48" s="115" t="s">
        <v>91</v>
      </c>
      <c r="I48" s="115" t="s">
        <v>91</v>
      </c>
      <c r="J48" s="115"/>
      <c r="K48" s="115"/>
      <c r="L48" s="276"/>
      <c r="M48" s="277">
        <f>J48*K48</f>
        <v>0</v>
      </c>
      <c r="N48" s="276">
        <f>L48*M48</f>
        <v>0</v>
      </c>
      <c r="O48" s="115"/>
      <c r="P48" s="276"/>
      <c r="Q48" s="115"/>
      <c r="R48" s="276"/>
      <c r="S48" s="115"/>
      <c r="T48" s="276"/>
      <c r="U48" s="278" t="s">
        <v>265</v>
      </c>
      <c r="V48" s="115">
        <v>1405</v>
      </c>
      <c r="W48" s="114">
        <v>43052</v>
      </c>
      <c r="X48" s="115"/>
      <c r="Y48" s="115"/>
      <c r="Z48" s="115"/>
      <c r="AA48" s="115"/>
      <c r="AB48" s="35">
        <v>120</v>
      </c>
      <c r="AC48" s="170">
        <v>58734</v>
      </c>
      <c r="AD48" s="208"/>
      <c r="AE48" s="170"/>
      <c r="AF48" s="208"/>
      <c r="AG48" s="170"/>
      <c r="AH48" s="208"/>
      <c r="AI48" s="170"/>
      <c r="AJ48" s="233">
        <v>140</v>
      </c>
      <c r="AK48" s="170">
        <f>AE48+AG48+AI48</f>
        <v>0</v>
      </c>
      <c r="AL48" s="270">
        <f>15+30+10+25+20+20</f>
        <v>120</v>
      </c>
      <c r="AM48" s="170">
        <f>7341.75+14683.5+4894.5+12236.25+9789</f>
        <v>48945</v>
      </c>
      <c r="AN48" s="270">
        <v>0</v>
      </c>
      <c r="AO48" s="170">
        <f>AC48+AK48-AM48</f>
        <v>9789</v>
      </c>
      <c r="AP48" s="233"/>
      <c r="AQ48" s="233"/>
      <c r="AR48" s="170">
        <v>489.45</v>
      </c>
      <c r="AS48" s="170">
        <f>AQ48*AR48</f>
        <v>0</v>
      </c>
      <c r="AT48" s="233">
        <f t="shared" si="6"/>
        <v>0</v>
      </c>
      <c r="AU48" s="386">
        <f>AT48*AR48</f>
        <v>0</v>
      </c>
      <c r="AV48" s="233">
        <v>0</v>
      </c>
    </row>
    <row r="49" spans="1:49" s="62" customFormat="1" ht="26.25" hidden="1" customHeight="1">
      <c r="A49" s="59"/>
      <c r="B49" s="60"/>
      <c r="C49" s="60"/>
      <c r="D49" s="22"/>
      <c r="E49" s="79" t="s">
        <v>24</v>
      </c>
      <c r="F49" s="51" t="s">
        <v>44</v>
      </c>
      <c r="G49" s="275" t="s">
        <v>116</v>
      </c>
      <c r="H49" s="115" t="s">
        <v>91</v>
      </c>
      <c r="I49" s="115" t="s">
        <v>91</v>
      </c>
      <c r="J49" s="115"/>
      <c r="K49" s="115"/>
      <c r="L49" s="276"/>
      <c r="M49" s="277">
        <f t="shared" si="0"/>
        <v>0</v>
      </c>
      <c r="N49" s="276">
        <f t="shared" si="1"/>
        <v>0</v>
      </c>
      <c r="O49" s="115"/>
      <c r="P49" s="276"/>
      <c r="Q49" s="115"/>
      <c r="R49" s="276"/>
      <c r="S49" s="115"/>
      <c r="T49" s="276"/>
      <c r="U49" s="278" t="s">
        <v>186</v>
      </c>
      <c r="V49" s="115">
        <v>1418</v>
      </c>
      <c r="W49" s="114">
        <v>43312</v>
      </c>
      <c r="X49" s="115" t="s">
        <v>184</v>
      </c>
      <c r="Y49" s="221">
        <v>43332</v>
      </c>
      <c r="Z49" s="115" t="s">
        <v>185</v>
      </c>
      <c r="AA49" s="221">
        <v>43320</v>
      </c>
      <c r="AB49" s="22">
        <v>0</v>
      </c>
      <c r="AC49" s="170">
        <v>0</v>
      </c>
      <c r="AD49" s="208">
        <v>55</v>
      </c>
      <c r="AE49" s="170">
        <v>10780</v>
      </c>
      <c r="AF49" s="208"/>
      <c r="AG49" s="170"/>
      <c r="AH49" s="208"/>
      <c r="AI49" s="170"/>
      <c r="AJ49" s="233"/>
      <c r="AK49" s="170">
        <f t="shared" si="5"/>
        <v>10780</v>
      </c>
      <c r="AL49" s="270">
        <v>0</v>
      </c>
      <c r="AM49" s="170">
        <v>0</v>
      </c>
      <c r="AN49" s="270">
        <v>55</v>
      </c>
      <c r="AO49" s="170">
        <v>0</v>
      </c>
      <c r="AP49" s="233"/>
      <c r="AQ49" s="233"/>
      <c r="AR49" s="170">
        <v>196</v>
      </c>
      <c r="AS49" s="170">
        <f t="shared" si="3"/>
        <v>0</v>
      </c>
      <c r="AT49" s="233">
        <f t="shared" si="6"/>
        <v>0</v>
      </c>
      <c r="AU49" s="386">
        <f t="shared" si="4"/>
        <v>0</v>
      </c>
      <c r="AV49" s="233">
        <v>0</v>
      </c>
    </row>
    <row r="50" spans="1:49" s="62" customFormat="1" ht="26.25" customHeight="1">
      <c r="A50" s="59"/>
      <c r="B50" s="60"/>
      <c r="C50" s="60"/>
      <c r="D50" s="22"/>
      <c r="E50" s="79"/>
      <c r="F50" s="51" t="s">
        <v>269</v>
      </c>
      <c r="G50" s="275" t="s">
        <v>152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 t="s">
        <v>265</v>
      </c>
      <c r="V50" s="115"/>
      <c r="W50" s="114"/>
      <c r="X50" s="115"/>
      <c r="Y50" s="221"/>
      <c r="Z50" s="115"/>
      <c r="AA50" s="221"/>
      <c r="AB50" s="22"/>
      <c r="AC50" s="170"/>
      <c r="AD50" s="208"/>
      <c r="AE50" s="170"/>
      <c r="AF50" s="208"/>
      <c r="AG50" s="170"/>
      <c r="AH50" s="208"/>
      <c r="AI50" s="170"/>
      <c r="AJ50" s="233">
        <v>50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f t="shared" si="6"/>
        <v>0</v>
      </c>
      <c r="AU50" s="386"/>
      <c r="AV50" s="233">
        <v>0</v>
      </c>
    </row>
    <row r="51" spans="1:49" s="62" customFormat="1" ht="26.25" customHeight="1">
      <c r="A51" s="59"/>
      <c r="B51" s="60"/>
      <c r="C51" s="60"/>
      <c r="D51" s="22"/>
      <c r="E51" s="79"/>
      <c r="F51" s="485" t="s">
        <v>269</v>
      </c>
      <c r="G51" s="222" t="s">
        <v>152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03" t="s">
        <v>314</v>
      </c>
      <c r="V51" s="115"/>
      <c r="W51" s="114"/>
      <c r="X51" s="115"/>
      <c r="Y51" s="221"/>
      <c r="Z51" s="115"/>
      <c r="AA51" s="221"/>
      <c r="AB51" s="22"/>
      <c r="AC51" s="170"/>
      <c r="AD51" s="208"/>
      <c r="AE51" s="170"/>
      <c r="AF51" s="208"/>
      <c r="AG51" s="170"/>
      <c r="AH51" s="208"/>
      <c r="AI51" s="170"/>
      <c r="AJ51" s="232">
        <v>75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47">
        <f t="shared" si="6"/>
        <v>20</v>
      </c>
      <c r="AU51" s="386"/>
      <c r="AV51" s="279">
        <v>20</v>
      </c>
    </row>
    <row r="52" spans="1:49" s="62" customFormat="1" ht="26.25" customHeight="1">
      <c r="A52" s="59"/>
      <c r="B52" s="60"/>
      <c r="C52" s="60"/>
      <c r="D52" s="22"/>
      <c r="E52" s="79"/>
      <c r="F52" s="485" t="s">
        <v>269</v>
      </c>
      <c r="G52" s="222" t="s">
        <v>152</v>
      </c>
      <c r="H52" s="115"/>
      <c r="I52" s="115"/>
      <c r="J52" s="115"/>
      <c r="K52" s="115"/>
      <c r="L52" s="276"/>
      <c r="M52" s="277"/>
      <c r="N52" s="276"/>
      <c r="O52" s="115"/>
      <c r="P52" s="276"/>
      <c r="Q52" s="115"/>
      <c r="R52" s="276"/>
      <c r="S52" s="115"/>
      <c r="T52" s="276"/>
      <c r="U52" s="203" t="s">
        <v>322</v>
      </c>
      <c r="V52" s="115"/>
      <c r="W52" s="114"/>
      <c r="X52" s="115"/>
      <c r="Y52" s="221"/>
      <c r="Z52" s="115"/>
      <c r="AA52" s="221"/>
      <c r="AB52" s="22"/>
      <c r="AC52" s="170"/>
      <c r="AD52" s="208"/>
      <c r="AE52" s="170"/>
      <c r="AF52" s="208"/>
      <c r="AG52" s="170"/>
      <c r="AH52" s="208"/>
      <c r="AI52" s="170"/>
      <c r="AJ52" s="232">
        <v>35</v>
      </c>
      <c r="AK52" s="170"/>
      <c r="AL52" s="270"/>
      <c r="AM52" s="170"/>
      <c r="AN52" s="270"/>
      <c r="AO52" s="170"/>
      <c r="AP52" s="233"/>
      <c r="AQ52" s="233"/>
      <c r="AR52" s="170"/>
      <c r="AS52" s="170"/>
      <c r="AT52" s="247">
        <f t="shared" si="6"/>
        <v>35</v>
      </c>
      <c r="AU52" s="386"/>
      <c r="AV52" s="279">
        <v>35</v>
      </c>
    </row>
    <row r="53" spans="1:49" s="62" customFormat="1" ht="26.25" customHeight="1">
      <c r="A53" s="59"/>
      <c r="B53" s="60"/>
      <c r="C53" s="60"/>
      <c r="D53" s="22"/>
      <c r="E53" s="79"/>
      <c r="F53" s="485" t="s">
        <v>269</v>
      </c>
      <c r="G53" s="222" t="s">
        <v>152</v>
      </c>
      <c r="H53" s="115"/>
      <c r="I53" s="115"/>
      <c r="J53" s="115"/>
      <c r="K53" s="115"/>
      <c r="L53" s="276"/>
      <c r="M53" s="277"/>
      <c r="N53" s="276"/>
      <c r="O53" s="115"/>
      <c r="P53" s="276"/>
      <c r="Q53" s="115"/>
      <c r="R53" s="276"/>
      <c r="S53" s="115"/>
      <c r="T53" s="276"/>
      <c r="U53" s="203" t="s">
        <v>322</v>
      </c>
      <c r="V53" s="115"/>
      <c r="W53" s="114"/>
      <c r="X53" s="115"/>
      <c r="Y53" s="221"/>
      <c r="Z53" s="115"/>
      <c r="AA53" s="221"/>
      <c r="AB53" s="22"/>
      <c r="AC53" s="170"/>
      <c r="AD53" s="208"/>
      <c r="AE53" s="170"/>
      <c r="AF53" s="208"/>
      <c r="AG53" s="170"/>
      <c r="AH53" s="208"/>
      <c r="AI53" s="170"/>
      <c r="AJ53" s="232">
        <v>490</v>
      </c>
      <c r="AK53" s="170"/>
      <c r="AL53" s="270"/>
      <c r="AM53" s="170"/>
      <c r="AN53" s="270"/>
      <c r="AO53" s="170"/>
      <c r="AP53" s="233"/>
      <c r="AQ53" s="233"/>
      <c r="AR53" s="170"/>
      <c r="AS53" s="170"/>
      <c r="AT53" s="247">
        <f t="shared" si="6"/>
        <v>490</v>
      </c>
      <c r="AU53" s="386"/>
      <c r="AV53" s="279">
        <v>490</v>
      </c>
    </row>
    <row r="54" spans="1:49" s="62" customFormat="1" ht="26.25" customHeight="1">
      <c r="A54" s="59"/>
      <c r="B54" s="60"/>
      <c r="C54" s="60"/>
      <c r="D54" s="22"/>
      <c r="E54" s="79"/>
      <c r="F54" s="177" t="s">
        <v>44</v>
      </c>
      <c r="G54" s="222" t="s">
        <v>116</v>
      </c>
      <c r="H54" s="115"/>
      <c r="I54" s="115"/>
      <c r="J54" s="115"/>
      <c r="K54" s="115"/>
      <c r="L54" s="276"/>
      <c r="M54" s="277"/>
      <c r="N54" s="276"/>
      <c r="O54" s="115"/>
      <c r="P54" s="276"/>
      <c r="Q54" s="115"/>
      <c r="R54" s="276"/>
      <c r="S54" s="115"/>
      <c r="T54" s="276"/>
      <c r="U54" s="203" t="s">
        <v>332</v>
      </c>
      <c r="V54" s="115"/>
      <c r="W54" s="114"/>
      <c r="X54" s="115"/>
      <c r="Y54" s="221"/>
      <c r="Z54" s="115"/>
      <c r="AA54" s="221"/>
      <c r="AB54" s="22"/>
      <c r="AC54" s="170"/>
      <c r="AD54" s="208"/>
      <c r="AE54" s="170"/>
      <c r="AF54" s="208"/>
      <c r="AG54" s="170"/>
      <c r="AH54" s="208"/>
      <c r="AI54" s="170"/>
      <c r="AJ54" s="232">
        <v>475</v>
      </c>
      <c r="AK54" s="170"/>
      <c r="AL54" s="270"/>
      <c r="AM54" s="170"/>
      <c r="AN54" s="270"/>
      <c r="AO54" s="170"/>
      <c r="AP54" s="233"/>
      <c r="AQ54" s="233"/>
      <c r="AR54" s="170"/>
      <c r="AS54" s="170"/>
      <c r="AT54" s="247">
        <f t="shared" si="6"/>
        <v>165</v>
      </c>
      <c r="AU54" s="386"/>
      <c r="AV54" s="279">
        <v>165</v>
      </c>
    </row>
    <row r="55" spans="1:49" s="62" customFormat="1" ht="27" hidden="1" customHeight="1">
      <c r="A55" s="59"/>
      <c r="B55" s="60"/>
      <c r="C55" s="60"/>
      <c r="D55" s="22"/>
      <c r="E55" s="79" t="s">
        <v>24</v>
      </c>
      <c r="F55" s="51" t="s">
        <v>52</v>
      </c>
      <c r="G55" s="275" t="s">
        <v>111</v>
      </c>
      <c r="H55" s="115" t="s">
        <v>91</v>
      </c>
      <c r="I55" s="115" t="s">
        <v>91</v>
      </c>
      <c r="J55" s="115"/>
      <c r="K55" s="115"/>
      <c r="L55" s="276"/>
      <c r="M55" s="277">
        <f t="shared" si="0"/>
        <v>0</v>
      </c>
      <c r="N55" s="276">
        <f t="shared" si="1"/>
        <v>0</v>
      </c>
      <c r="O55" s="115"/>
      <c r="P55" s="276"/>
      <c r="Q55" s="115"/>
      <c r="R55" s="276"/>
      <c r="S55" s="115"/>
      <c r="T55" s="276"/>
      <c r="U55" s="278" t="s">
        <v>112</v>
      </c>
      <c r="V55" s="115">
        <v>1625</v>
      </c>
      <c r="W55" s="114">
        <v>43087</v>
      </c>
      <c r="X55" s="115" t="s">
        <v>109</v>
      </c>
      <c r="Y55" s="221">
        <v>43109</v>
      </c>
      <c r="Z55" s="115" t="s">
        <v>110</v>
      </c>
      <c r="AA55" s="221">
        <v>43111</v>
      </c>
      <c r="AB55" s="22">
        <v>0</v>
      </c>
      <c r="AC55" s="170">
        <v>0</v>
      </c>
      <c r="AD55" s="208">
        <v>5</v>
      </c>
      <c r="AE55" s="170">
        <v>1010.9</v>
      </c>
      <c r="AF55" s="208"/>
      <c r="AG55" s="170"/>
      <c r="AH55" s="208"/>
      <c r="AI55" s="170"/>
      <c r="AJ55" s="232"/>
      <c r="AK55" s="170">
        <f t="shared" si="5"/>
        <v>1010.9</v>
      </c>
      <c r="AL55" s="270">
        <v>5</v>
      </c>
      <c r="AM55" s="170">
        <v>1010.9</v>
      </c>
      <c r="AN55" s="270">
        <v>0</v>
      </c>
      <c r="AO55" s="170">
        <f t="shared" si="2"/>
        <v>0</v>
      </c>
      <c r="AP55" s="233"/>
      <c r="AQ55" s="233"/>
      <c r="AR55" s="170"/>
      <c r="AS55" s="170">
        <f t="shared" si="3"/>
        <v>0</v>
      </c>
      <c r="AT55" s="247">
        <f t="shared" si="6"/>
        <v>0</v>
      </c>
      <c r="AU55" s="170">
        <f t="shared" si="4"/>
        <v>0</v>
      </c>
      <c r="AV55" s="233">
        <v>0</v>
      </c>
    </row>
    <row r="56" spans="1:49" s="62" customFormat="1" ht="27" hidden="1" customHeight="1">
      <c r="A56" s="59"/>
      <c r="B56" s="60"/>
      <c r="C56" s="60"/>
      <c r="D56" s="22"/>
      <c r="E56" s="79" t="s">
        <v>24</v>
      </c>
      <c r="F56" s="51" t="s">
        <v>52</v>
      </c>
      <c r="G56" s="275" t="s">
        <v>111</v>
      </c>
      <c r="H56" s="115" t="s">
        <v>91</v>
      </c>
      <c r="I56" s="115" t="s">
        <v>91</v>
      </c>
      <c r="J56" s="115">
        <v>2016</v>
      </c>
      <c r="K56" s="115">
        <v>2</v>
      </c>
      <c r="L56" s="276">
        <v>199.06</v>
      </c>
      <c r="M56" s="277">
        <f t="shared" si="0"/>
        <v>4032</v>
      </c>
      <c r="N56" s="276">
        <f t="shared" si="1"/>
        <v>802609.92</v>
      </c>
      <c r="O56" s="115">
        <v>4130</v>
      </c>
      <c r="P56" s="276">
        <v>1054554.2</v>
      </c>
      <c r="Q56" s="115"/>
      <c r="R56" s="276"/>
      <c r="S56" s="115"/>
      <c r="T56" s="276"/>
      <c r="U56" s="278" t="s">
        <v>112</v>
      </c>
      <c r="V56" s="115">
        <v>1583</v>
      </c>
      <c r="W56" s="114">
        <v>43082</v>
      </c>
      <c r="X56" s="115" t="s">
        <v>113</v>
      </c>
      <c r="Y56" s="221">
        <v>43109</v>
      </c>
      <c r="Z56" s="115" t="s">
        <v>110</v>
      </c>
      <c r="AA56" s="221">
        <v>43111</v>
      </c>
      <c r="AB56" s="22">
        <v>0</v>
      </c>
      <c r="AC56" s="170">
        <v>0</v>
      </c>
      <c r="AD56" s="208">
        <v>490</v>
      </c>
      <c r="AE56" s="170">
        <v>99068.2</v>
      </c>
      <c r="AF56" s="208"/>
      <c r="AG56" s="170"/>
      <c r="AH56" s="208"/>
      <c r="AI56" s="170"/>
      <c r="AJ56" s="232"/>
      <c r="AK56" s="170">
        <f t="shared" si="5"/>
        <v>99068.2</v>
      </c>
      <c r="AL56" s="270">
        <f>135+130+130</f>
        <v>395</v>
      </c>
      <c r="AM56" s="170">
        <f>AL56*AR56</f>
        <v>79861.100000000006</v>
      </c>
      <c r="AN56" s="270">
        <v>95</v>
      </c>
      <c r="AO56" s="170">
        <f t="shared" si="2"/>
        <v>19207.099999999991</v>
      </c>
      <c r="AP56" s="233"/>
      <c r="AQ56" s="233"/>
      <c r="AR56" s="170">
        <v>202.18</v>
      </c>
      <c r="AS56" s="170">
        <f t="shared" si="3"/>
        <v>0</v>
      </c>
      <c r="AT56" s="247">
        <f t="shared" si="6"/>
        <v>0</v>
      </c>
      <c r="AU56" s="386">
        <f t="shared" si="4"/>
        <v>0</v>
      </c>
      <c r="AV56" s="233">
        <v>0</v>
      </c>
    </row>
    <row r="57" spans="1:49" s="62" customFormat="1" ht="27" hidden="1" customHeight="1">
      <c r="A57" s="59"/>
      <c r="B57" s="60"/>
      <c r="C57" s="60"/>
      <c r="D57" s="22"/>
      <c r="E57" s="79" t="s">
        <v>24</v>
      </c>
      <c r="F57" s="51" t="s">
        <v>52</v>
      </c>
      <c r="G57" s="275" t="s">
        <v>111</v>
      </c>
      <c r="H57" s="115" t="s">
        <v>91</v>
      </c>
      <c r="I57" s="115" t="s">
        <v>91</v>
      </c>
      <c r="J57" s="115"/>
      <c r="K57" s="115"/>
      <c r="L57" s="276"/>
      <c r="M57" s="277">
        <f t="shared" si="0"/>
        <v>0</v>
      </c>
      <c r="N57" s="276">
        <f t="shared" si="1"/>
        <v>0</v>
      </c>
      <c r="O57" s="115"/>
      <c r="P57" s="276"/>
      <c r="Q57" s="115"/>
      <c r="R57" s="276"/>
      <c r="S57" s="115"/>
      <c r="T57" s="276"/>
      <c r="U57" s="278" t="s">
        <v>112</v>
      </c>
      <c r="V57" s="115">
        <v>1745</v>
      </c>
      <c r="W57" s="114">
        <v>43096</v>
      </c>
      <c r="X57" s="115" t="s">
        <v>117</v>
      </c>
      <c r="Y57" s="221">
        <v>43109</v>
      </c>
      <c r="Z57" s="115" t="s">
        <v>118</v>
      </c>
      <c r="AA57" s="221">
        <v>43133</v>
      </c>
      <c r="AB57" s="22">
        <v>0</v>
      </c>
      <c r="AC57" s="170">
        <v>0</v>
      </c>
      <c r="AD57" s="208">
        <v>195</v>
      </c>
      <c r="AE57" s="170">
        <v>39425.1</v>
      </c>
      <c r="AF57" s="208"/>
      <c r="AG57" s="170"/>
      <c r="AH57" s="208"/>
      <c r="AI57" s="170"/>
      <c r="AJ57" s="232"/>
      <c r="AK57" s="170">
        <f t="shared" si="5"/>
        <v>39425.1</v>
      </c>
      <c r="AL57" s="270">
        <v>0</v>
      </c>
      <c r="AM57" s="170">
        <v>0</v>
      </c>
      <c r="AN57" s="270">
        <v>195</v>
      </c>
      <c r="AO57" s="170">
        <f t="shared" si="2"/>
        <v>39425.1</v>
      </c>
      <c r="AP57" s="233"/>
      <c r="AQ57" s="233"/>
      <c r="AR57" s="170">
        <v>202.18</v>
      </c>
      <c r="AS57" s="170">
        <f t="shared" si="3"/>
        <v>0</v>
      </c>
      <c r="AT57" s="247">
        <f t="shared" si="6"/>
        <v>0</v>
      </c>
      <c r="AU57" s="386">
        <f t="shared" si="4"/>
        <v>0</v>
      </c>
      <c r="AV57" s="233">
        <v>0</v>
      </c>
    </row>
    <row r="58" spans="1:49" s="62" customFormat="1" ht="27" customHeight="1">
      <c r="A58" s="59"/>
      <c r="B58" s="60"/>
      <c r="C58" s="60"/>
      <c r="D58" s="22"/>
      <c r="E58" s="79"/>
      <c r="F58" s="177" t="s">
        <v>44</v>
      </c>
      <c r="G58" s="222" t="s">
        <v>116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338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360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360</v>
      </c>
      <c r="AU58" s="386"/>
      <c r="AV58" s="279">
        <v>360</v>
      </c>
    </row>
    <row r="59" spans="1:49" s="62" customFormat="1" ht="26.25" hidden="1" customHeight="1">
      <c r="A59" s="59"/>
      <c r="B59" s="60"/>
      <c r="C59" s="60"/>
      <c r="D59" s="22"/>
      <c r="E59" s="79" t="s">
        <v>24</v>
      </c>
      <c r="F59" s="51" t="s">
        <v>65</v>
      </c>
      <c r="G59" s="275" t="s">
        <v>111</v>
      </c>
      <c r="H59" s="115" t="s">
        <v>91</v>
      </c>
      <c r="I59" s="115" t="s">
        <v>91</v>
      </c>
      <c r="J59" s="115"/>
      <c r="K59" s="115"/>
      <c r="L59" s="276"/>
      <c r="M59" s="277">
        <f t="shared" si="0"/>
        <v>0</v>
      </c>
      <c r="N59" s="276">
        <f t="shared" si="1"/>
        <v>0</v>
      </c>
      <c r="O59" s="115"/>
      <c r="P59" s="276"/>
      <c r="Q59" s="115"/>
      <c r="R59" s="276"/>
      <c r="S59" s="115"/>
      <c r="T59" s="276"/>
      <c r="U59" s="278" t="s">
        <v>133</v>
      </c>
      <c r="V59" s="115">
        <v>234</v>
      </c>
      <c r="W59" s="114">
        <v>43143</v>
      </c>
      <c r="X59" s="115" t="s">
        <v>143</v>
      </c>
      <c r="Y59" s="221">
        <v>43164</v>
      </c>
      <c r="Z59" s="115"/>
      <c r="AA59" s="115"/>
      <c r="AB59" s="22">
        <v>0</v>
      </c>
      <c r="AC59" s="170">
        <v>0</v>
      </c>
      <c r="AD59" s="208">
        <v>320</v>
      </c>
      <c r="AE59" s="170">
        <v>64697.599999999999</v>
      </c>
      <c r="AF59" s="208"/>
      <c r="AG59" s="170"/>
      <c r="AH59" s="208"/>
      <c r="AI59" s="170"/>
      <c r="AJ59" s="233"/>
      <c r="AK59" s="170">
        <f t="shared" si="5"/>
        <v>64697.599999999999</v>
      </c>
      <c r="AL59" s="270">
        <v>0</v>
      </c>
      <c r="AM59" s="170">
        <v>0</v>
      </c>
      <c r="AN59" s="270">
        <v>320</v>
      </c>
      <c r="AO59" s="170">
        <f t="shared" si="2"/>
        <v>64697.599999999999</v>
      </c>
      <c r="AP59" s="233"/>
      <c r="AQ59" s="233"/>
      <c r="AR59" s="170">
        <v>202.18</v>
      </c>
      <c r="AS59" s="170">
        <f t="shared" si="3"/>
        <v>0</v>
      </c>
      <c r="AT59" s="233">
        <f t="shared" si="6"/>
        <v>0</v>
      </c>
      <c r="AU59" s="386">
        <f t="shared" si="4"/>
        <v>0</v>
      </c>
      <c r="AV59" s="233">
        <v>0</v>
      </c>
    </row>
    <row r="60" spans="1:49" s="62" customFormat="1" ht="26.25" hidden="1" customHeight="1">
      <c r="A60" s="59"/>
      <c r="B60" s="60"/>
      <c r="C60" s="60"/>
      <c r="D60" s="22"/>
      <c r="E60" s="79" t="s">
        <v>24</v>
      </c>
      <c r="F60" s="51" t="s">
        <v>65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132</v>
      </c>
      <c r="V60" s="115">
        <v>234</v>
      </c>
      <c r="W60" s="114">
        <v>43143</v>
      </c>
      <c r="X60" s="115" t="s">
        <v>143</v>
      </c>
      <c r="Y60" s="221">
        <v>43164</v>
      </c>
      <c r="Z60" s="115"/>
      <c r="AA60" s="115"/>
      <c r="AB60" s="22">
        <v>0</v>
      </c>
      <c r="AC60" s="170">
        <v>0</v>
      </c>
      <c r="AD60" s="208">
        <v>15</v>
      </c>
      <c r="AE60" s="170">
        <v>3032.7</v>
      </c>
      <c r="AF60" s="208"/>
      <c r="AG60" s="170"/>
      <c r="AH60" s="208"/>
      <c r="AI60" s="170"/>
      <c r="AJ60" s="233"/>
      <c r="AK60" s="170">
        <f t="shared" si="5"/>
        <v>3032.7</v>
      </c>
      <c r="AL60" s="270">
        <v>0</v>
      </c>
      <c r="AM60" s="170">
        <v>0</v>
      </c>
      <c r="AN60" s="270">
        <v>15</v>
      </c>
      <c r="AO60" s="170">
        <f t="shared" si="2"/>
        <v>3032.7</v>
      </c>
      <c r="AP60" s="233"/>
      <c r="AQ60" s="233"/>
      <c r="AR60" s="170">
        <v>202.18</v>
      </c>
      <c r="AS60" s="170">
        <f t="shared" si="3"/>
        <v>0</v>
      </c>
      <c r="AT60" s="233">
        <f t="shared" si="6"/>
        <v>0</v>
      </c>
      <c r="AU60" s="386">
        <f t="shared" si="4"/>
        <v>0</v>
      </c>
      <c r="AV60" s="233">
        <v>0</v>
      </c>
      <c r="AW60" s="517" t="s">
        <v>287</v>
      </c>
    </row>
    <row r="61" spans="1:49" s="62" customFormat="1" ht="27" hidden="1" customHeight="1">
      <c r="A61" s="59"/>
      <c r="B61" s="60"/>
      <c r="C61" s="60"/>
      <c r="D61" s="22"/>
      <c r="E61" s="79" t="s">
        <v>24</v>
      </c>
      <c r="F61" s="51" t="s">
        <v>65</v>
      </c>
      <c r="G61" s="275" t="s">
        <v>111</v>
      </c>
      <c r="H61" s="115" t="s">
        <v>91</v>
      </c>
      <c r="I61" s="115" t="s">
        <v>91</v>
      </c>
      <c r="J61" s="115"/>
      <c r="K61" s="115"/>
      <c r="L61" s="276"/>
      <c r="M61" s="277">
        <f t="shared" si="0"/>
        <v>0</v>
      </c>
      <c r="N61" s="276">
        <f t="shared" si="1"/>
        <v>0</v>
      </c>
      <c r="O61" s="115"/>
      <c r="P61" s="276"/>
      <c r="Q61" s="115"/>
      <c r="R61" s="276"/>
      <c r="S61" s="115"/>
      <c r="T61" s="276"/>
      <c r="U61" s="278" t="s">
        <v>133</v>
      </c>
      <c r="V61" s="115">
        <v>356</v>
      </c>
      <c r="W61" s="114">
        <v>43159</v>
      </c>
      <c r="X61" s="115" t="s">
        <v>136</v>
      </c>
      <c r="Y61" s="221">
        <v>43164</v>
      </c>
      <c r="Z61" s="115"/>
      <c r="AA61" s="115"/>
      <c r="AB61" s="22">
        <v>0</v>
      </c>
      <c r="AC61" s="170">
        <v>0</v>
      </c>
      <c r="AD61" s="208">
        <v>170</v>
      </c>
      <c r="AE61" s="170">
        <v>34370.6</v>
      </c>
      <c r="AF61" s="208"/>
      <c r="AG61" s="170"/>
      <c r="AH61" s="208"/>
      <c r="AI61" s="170"/>
      <c r="AJ61" s="233"/>
      <c r="AK61" s="170">
        <f t="shared" si="5"/>
        <v>34370.6</v>
      </c>
      <c r="AL61" s="270">
        <v>0</v>
      </c>
      <c r="AM61" s="170">
        <v>0</v>
      </c>
      <c r="AN61" s="270">
        <v>170</v>
      </c>
      <c r="AO61" s="170">
        <f t="shared" si="2"/>
        <v>34370.6</v>
      </c>
      <c r="AP61" s="233"/>
      <c r="AQ61" s="233"/>
      <c r="AR61" s="170">
        <v>202.18</v>
      </c>
      <c r="AS61" s="170">
        <f t="shared" si="3"/>
        <v>0</v>
      </c>
      <c r="AT61" s="233">
        <f t="shared" si="6"/>
        <v>0</v>
      </c>
      <c r="AU61" s="386">
        <f t="shared" si="4"/>
        <v>0</v>
      </c>
      <c r="AV61" s="233">
        <v>0</v>
      </c>
    </row>
    <row r="62" spans="1:49" s="62" customFormat="1" ht="27" customHeight="1">
      <c r="A62" s="59"/>
      <c r="B62" s="60"/>
      <c r="C62" s="137"/>
      <c r="D62" s="192"/>
      <c r="E62" s="79" t="s">
        <v>24</v>
      </c>
      <c r="F62" s="525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527" t="s">
        <v>133</v>
      </c>
      <c r="V62" s="193">
        <v>260</v>
      </c>
      <c r="W62" s="532">
        <v>43145</v>
      </c>
      <c r="X62" s="193" t="s">
        <v>94</v>
      </c>
      <c r="Y62" s="200">
        <v>43164</v>
      </c>
      <c r="Z62" s="193"/>
      <c r="AA62" s="193"/>
      <c r="AB62" s="192">
        <v>0</v>
      </c>
      <c r="AC62" s="530">
        <v>0</v>
      </c>
      <c r="AD62" s="531">
        <v>665</v>
      </c>
      <c r="AE62" s="530">
        <v>134449.70000000001</v>
      </c>
      <c r="AF62" s="531"/>
      <c r="AG62" s="530"/>
      <c r="AH62" s="531"/>
      <c r="AI62" s="530"/>
      <c r="AJ62" s="247"/>
      <c r="AK62" s="170">
        <f t="shared" si="5"/>
        <v>134449.70000000001</v>
      </c>
      <c r="AL62" s="272">
        <v>0</v>
      </c>
      <c r="AM62" s="212">
        <v>0</v>
      </c>
      <c r="AN62" s="269">
        <v>665</v>
      </c>
      <c r="AO62" s="217">
        <f t="shared" si="2"/>
        <v>134449.70000000001</v>
      </c>
      <c r="AP62" s="232"/>
      <c r="AQ62" s="229"/>
      <c r="AR62" s="212">
        <v>202.18</v>
      </c>
      <c r="AS62" s="212">
        <f t="shared" si="3"/>
        <v>0</v>
      </c>
      <c r="AT62" s="247">
        <f t="shared" si="6"/>
        <v>230</v>
      </c>
      <c r="AU62" s="249">
        <f t="shared" si="4"/>
        <v>46501.4</v>
      </c>
      <c r="AV62" s="247">
        <v>230</v>
      </c>
    </row>
    <row r="63" spans="1:49" s="62" customFormat="1" ht="26.25" hidden="1" customHeight="1">
      <c r="A63" s="59"/>
      <c r="B63" s="60"/>
      <c r="C63" s="60"/>
      <c r="D63" s="22"/>
      <c r="E63" s="79" t="s">
        <v>24</v>
      </c>
      <c r="F63" s="51" t="s">
        <v>65</v>
      </c>
      <c r="G63" s="275" t="s">
        <v>111</v>
      </c>
      <c r="H63" s="115" t="s">
        <v>91</v>
      </c>
      <c r="I63" s="115" t="s">
        <v>91</v>
      </c>
      <c r="J63" s="115"/>
      <c r="K63" s="115"/>
      <c r="L63" s="276"/>
      <c r="M63" s="277">
        <f t="shared" si="0"/>
        <v>0</v>
      </c>
      <c r="N63" s="276">
        <f t="shared" si="1"/>
        <v>0</v>
      </c>
      <c r="O63" s="115"/>
      <c r="P63" s="276"/>
      <c r="Q63" s="115"/>
      <c r="R63" s="276"/>
      <c r="S63" s="115"/>
      <c r="T63" s="276"/>
      <c r="U63" s="278" t="s">
        <v>124</v>
      </c>
      <c r="V63" s="115">
        <v>68</v>
      </c>
      <c r="W63" s="114">
        <v>43116</v>
      </c>
      <c r="X63" s="115" t="s">
        <v>125</v>
      </c>
      <c r="Y63" s="221">
        <v>43130</v>
      </c>
      <c r="Z63" s="115"/>
      <c r="AA63" s="115"/>
      <c r="AB63" s="22">
        <v>0</v>
      </c>
      <c r="AC63" s="170">
        <v>0</v>
      </c>
      <c r="AD63" s="208">
        <v>335</v>
      </c>
      <c r="AE63" s="170">
        <v>67730.3</v>
      </c>
      <c r="AF63" s="208"/>
      <c r="AG63" s="170"/>
      <c r="AH63" s="208"/>
      <c r="AI63" s="170"/>
      <c r="AJ63" s="233"/>
      <c r="AK63" s="170">
        <f t="shared" si="5"/>
        <v>67730.3</v>
      </c>
      <c r="AL63" s="270">
        <v>0</v>
      </c>
      <c r="AM63" s="170">
        <v>0</v>
      </c>
      <c r="AN63" s="270">
        <v>335</v>
      </c>
      <c r="AO63" s="170">
        <f t="shared" si="2"/>
        <v>67730.3</v>
      </c>
      <c r="AP63" s="233"/>
      <c r="AQ63" s="233"/>
      <c r="AR63" s="170">
        <v>202.18</v>
      </c>
      <c r="AS63" s="170">
        <f t="shared" si="3"/>
        <v>0</v>
      </c>
      <c r="AT63" s="247">
        <f t="shared" si="6"/>
        <v>0</v>
      </c>
      <c r="AU63" s="386">
        <f t="shared" si="4"/>
        <v>0</v>
      </c>
      <c r="AV63" s="233">
        <v>0</v>
      </c>
    </row>
    <row r="64" spans="1:49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124</v>
      </c>
      <c r="V64" s="115">
        <v>135</v>
      </c>
      <c r="W64" s="114">
        <v>42761</v>
      </c>
      <c r="X64" s="115" t="s">
        <v>126</v>
      </c>
      <c r="Y64" s="221">
        <v>43130</v>
      </c>
      <c r="Z64" s="115"/>
      <c r="AA64" s="115"/>
      <c r="AB64" s="22">
        <v>0</v>
      </c>
      <c r="AC64" s="170">
        <v>0</v>
      </c>
      <c r="AD64" s="208">
        <v>155</v>
      </c>
      <c r="AE64" s="170">
        <v>31337.9</v>
      </c>
      <c r="AF64" s="208"/>
      <c r="AG64" s="170"/>
      <c r="AH64" s="208"/>
      <c r="AI64" s="170"/>
      <c r="AJ64" s="233"/>
      <c r="AK64" s="170">
        <f t="shared" si="5"/>
        <v>31337.9</v>
      </c>
      <c r="AL64" s="270">
        <v>0</v>
      </c>
      <c r="AM64" s="170">
        <v>0</v>
      </c>
      <c r="AN64" s="270">
        <v>155</v>
      </c>
      <c r="AO64" s="170">
        <f t="shared" si="2"/>
        <v>31337.9</v>
      </c>
      <c r="AP64" s="233"/>
      <c r="AQ64" s="233"/>
      <c r="AR64" s="170">
        <v>202.18</v>
      </c>
      <c r="AS64" s="170">
        <f t="shared" si="3"/>
        <v>0</v>
      </c>
      <c r="AT64" s="247">
        <f t="shared" si="6"/>
        <v>0</v>
      </c>
      <c r="AU64" s="386">
        <f t="shared" si="4"/>
        <v>0</v>
      </c>
      <c r="AV64" s="233">
        <v>0</v>
      </c>
    </row>
    <row r="65" spans="1:48" s="62" customFormat="1" ht="26.25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132</v>
      </c>
      <c r="V65" s="115">
        <v>108</v>
      </c>
      <c r="W65" s="114">
        <v>43119</v>
      </c>
      <c r="X65" s="115" t="s">
        <v>131</v>
      </c>
      <c r="Y65" s="221">
        <v>43130</v>
      </c>
      <c r="Z65" s="115"/>
      <c r="AA65" s="115"/>
      <c r="AB65" s="22">
        <v>0</v>
      </c>
      <c r="AC65" s="170">
        <v>0</v>
      </c>
      <c r="AD65" s="208">
        <v>340</v>
      </c>
      <c r="AE65" s="170">
        <v>68741.2</v>
      </c>
      <c r="AF65" s="208"/>
      <c r="AG65" s="170"/>
      <c r="AH65" s="208"/>
      <c r="AI65" s="170"/>
      <c r="AJ65" s="233"/>
      <c r="AK65" s="170">
        <f t="shared" si="5"/>
        <v>68741.2</v>
      </c>
      <c r="AL65" s="270">
        <v>0</v>
      </c>
      <c r="AM65" s="170">
        <v>0</v>
      </c>
      <c r="AN65" s="270">
        <v>340</v>
      </c>
      <c r="AO65" s="170">
        <f t="shared" si="2"/>
        <v>68741.2</v>
      </c>
      <c r="AP65" s="233"/>
      <c r="AQ65" s="233"/>
      <c r="AR65" s="170">
        <v>202.18</v>
      </c>
      <c r="AS65" s="170">
        <f t="shared" si="3"/>
        <v>0</v>
      </c>
      <c r="AT65" s="233">
        <f t="shared" si="6"/>
        <v>0</v>
      </c>
      <c r="AU65" s="386">
        <f t="shared" si="4"/>
        <v>0</v>
      </c>
      <c r="AV65" s="233">
        <v>0</v>
      </c>
    </row>
    <row r="66" spans="1:48" s="62" customFormat="1" ht="26.25" customHeight="1">
      <c r="A66" s="59"/>
      <c r="B66" s="60"/>
      <c r="C66" s="137"/>
      <c r="D66" s="192"/>
      <c r="E66" s="79" t="s">
        <v>24</v>
      </c>
      <c r="F66" s="525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527" t="s">
        <v>161</v>
      </c>
      <c r="V66" s="193">
        <v>659</v>
      </c>
      <c r="W66" s="532">
        <v>43201</v>
      </c>
      <c r="X66" s="193" t="s">
        <v>159</v>
      </c>
      <c r="Y66" s="200">
        <v>43213</v>
      </c>
      <c r="Z66" s="193" t="s">
        <v>160</v>
      </c>
      <c r="AA66" s="200">
        <v>43255</v>
      </c>
      <c r="AB66" s="192">
        <v>0</v>
      </c>
      <c r="AC66" s="530">
        <v>0</v>
      </c>
      <c r="AD66" s="531">
        <v>245</v>
      </c>
      <c r="AE66" s="530">
        <v>49534.1</v>
      </c>
      <c r="AF66" s="531"/>
      <c r="AG66" s="530"/>
      <c r="AH66" s="531"/>
      <c r="AI66" s="530"/>
      <c r="AJ66" s="247"/>
      <c r="AK66" s="170">
        <f t="shared" si="5"/>
        <v>49534.1</v>
      </c>
      <c r="AL66" s="272">
        <v>0</v>
      </c>
      <c r="AM66" s="212">
        <v>0</v>
      </c>
      <c r="AN66" s="269">
        <v>245</v>
      </c>
      <c r="AO66" s="217">
        <f t="shared" si="2"/>
        <v>49534.1</v>
      </c>
      <c r="AP66" s="232"/>
      <c r="AQ66" s="229"/>
      <c r="AR66" s="212">
        <v>202.18</v>
      </c>
      <c r="AS66" s="212">
        <f t="shared" si="3"/>
        <v>0</v>
      </c>
      <c r="AT66" s="247">
        <f t="shared" si="6"/>
        <v>245</v>
      </c>
      <c r="AU66" s="228">
        <f t="shared" si="4"/>
        <v>49534.1</v>
      </c>
      <c r="AV66" s="247">
        <v>245</v>
      </c>
    </row>
    <row r="67" spans="1:48" s="62" customFormat="1" ht="26.25" customHeight="1">
      <c r="A67" s="59"/>
      <c r="B67" s="60"/>
      <c r="C67" s="60"/>
      <c r="D67" s="22"/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161</v>
      </c>
      <c r="V67" s="115">
        <v>834</v>
      </c>
      <c r="W67" s="114">
        <v>43222</v>
      </c>
      <c r="X67" s="193" t="s">
        <v>162</v>
      </c>
      <c r="Y67" s="200">
        <v>43242</v>
      </c>
      <c r="Z67" s="193"/>
      <c r="AA67" s="193"/>
      <c r="AB67" s="22">
        <v>0</v>
      </c>
      <c r="AC67" s="170">
        <v>0</v>
      </c>
      <c r="AD67" s="209">
        <v>555</v>
      </c>
      <c r="AE67" s="194">
        <v>112209.9</v>
      </c>
      <c r="AF67" s="209"/>
      <c r="AG67" s="194"/>
      <c r="AH67" s="209"/>
      <c r="AI67" s="194"/>
      <c r="AJ67" s="232"/>
      <c r="AK67" s="170">
        <f t="shared" si="5"/>
        <v>112209.9</v>
      </c>
      <c r="AL67" s="272">
        <v>0</v>
      </c>
      <c r="AM67" s="212">
        <v>0</v>
      </c>
      <c r="AN67" s="269">
        <v>555</v>
      </c>
      <c r="AO67" s="217">
        <f t="shared" si="2"/>
        <v>112209.9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495</v>
      </c>
      <c r="AU67" s="228">
        <f t="shared" si="4"/>
        <v>100079.1</v>
      </c>
      <c r="AV67" s="279">
        <v>495</v>
      </c>
    </row>
    <row r="68" spans="1:48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175</v>
      </c>
      <c r="V68" s="115">
        <v>1006</v>
      </c>
      <c r="W68" s="114">
        <v>43244</v>
      </c>
      <c r="X68" s="115" t="s">
        <v>179</v>
      </c>
      <c r="Y68" s="221">
        <v>43285</v>
      </c>
      <c r="Z68" s="115"/>
      <c r="AA68" s="115"/>
      <c r="AB68" s="22">
        <v>0</v>
      </c>
      <c r="AC68" s="170">
        <v>0</v>
      </c>
      <c r="AD68" s="208">
        <v>45</v>
      </c>
      <c r="AE68" s="170">
        <v>8820</v>
      </c>
      <c r="AF68" s="208"/>
      <c r="AG68" s="170"/>
      <c r="AH68" s="208"/>
      <c r="AI68" s="170"/>
      <c r="AJ68" s="233"/>
      <c r="AK68" s="170">
        <f t="shared" si="5"/>
        <v>8820</v>
      </c>
      <c r="AL68" s="270">
        <v>0</v>
      </c>
      <c r="AM68" s="170">
        <v>0</v>
      </c>
      <c r="AN68" s="270">
        <v>45</v>
      </c>
      <c r="AO68" s="170">
        <f t="shared" si="2"/>
        <v>8820</v>
      </c>
      <c r="AP68" s="233"/>
      <c r="AQ68" s="233"/>
      <c r="AR68" s="170">
        <v>196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8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175</v>
      </c>
      <c r="V69" s="115">
        <v>1006</v>
      </c>
      <c r="W69" s="114">
        <v>43244</v>
      </c>
      <c r="X69" s="115" t="s">
        <v>179</v>
      </c>
      <c r="Y69" s="221">
        <v>43285</v>
      </c>
      <c r="Z69" s="115"/>
      <c r="AA69" s="115"/>
      <c r="AB69" s="22">
        <v>0</v>
      </c>
      <c r="AC69" s="170">
        <v>0</v>
      </c>
      <c r="AD69" s="208">
        <v>55</v>
      </c>
      <c r="AE69" s="170">
        <v>11119.9</v>
      </c>
      <c r="AF69" s="208"/>
      <c r="AG69" s="170"/>
      <c r="AH69" s="208"/>
      <c r="AI69" s="170"/>
      <c r="AJ69" s="233"/>
      <c r="AK69" s="170">
        <f t="shared" si="5"/>
        <v>11119.9</v>
      </c>
      <c r="AL69" s="270">
        <v>0</v>
      </c>
      <c r="AM69" s="170">
        <v>0</v>
      </c>
      <c r="AN69" s="270">
        <v>55</v>
      </c>
      <c r="AO69" s="170">
        <f t="shared" si="2"/>
        <v>11119.9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8" s="62" customFormat="1" ht="26.25" customHeight="1">
      <c r="A70" s="59"/>
      <c r="B70" s="60"/>
      <c r="C70" s="60"/>
      <c r="D70" s="22"/>
      <c r="E70" s="79" t="s">
        <v>24</v>
      </c>
      <c r="F70" s="53" t="s">
        <v>65</v>
      </c>
      <c r="G70" s="222" t="s">
        <v>111</v>
      </c>
      <c r="H70" s="193" t="s">
        <v>91</v>
      </c>
      <c r="I70" s="193" t="s">
        <v>91</v>
      </c>
      <c r="J70" s="193"/>
      <c r="K70" s="193"/>
      <c r="L70" s="243"/>
      <c r="M70" s="242">
        <f t="shared" si="0"/>
        <v>0</v>
      </c>
      <c r="N70" s="243">
        <f t="shared" si="1"/>
        <v>0</v>
      </c>
      <c r="O70" s="193"/>
      <c r="P70" s="243"/>
      <c r="Q70" s="193"/>
      <c r="R70" s="243"/>
      <c r="S70" s="193"/>
      <c r="T70" s="243"/>
      <c r="U70" s="203" t="s">
        <v>175</v>
      </c>
      <c r="V70" s="115">
        <v>877</v>
      </c>
      <c r="W70" s="114">
        <v>43230</v>
      </c>
      <c r="X70" s="193" t="s">
        <v>174</v>
      </c>
      <c r="Y70" s="200">
        <v>43285</v>
      </c>
      <c r="Z70" s="193"/>
      <c r="AA70" s="193"/>
      <c r="AB70" s="22">
        <v>0</v>
      </c>
      <c r="AC70" s="170">
        <v>0</v>
      </c>
      <c r="AD70" s="209">
        <v>210</v>
      </c>
      <c r="AE70" s="194">
        <v>42457.8</v>
      </c>
      <c r="AF70" s="209"/>
      <c r="AG70" s="194"/>
      <c r="AH70" s="209"/>
      <c r="AI70" s="194"/>
      <c r="AJ70" s="232"/>
      <c r="AK70" s="170">
        <f t="shared" si="5"/>
        <v>42457.8</v>
      </c>
      <c r="AL70" s="272">
        <v>0</v>
      </c>
      <c r="AM70" s="212">
        <v>0</v>
      </c>
      <c r="AN70" s="269">
        <v>210</v>
      </c>
      <c r="AO70" s="217">
        <f t="shared" si="2"/>
        <v>42457.8</v>
      </c>
      <c r="AP70" s="232"/>
      <c r="AQ70" s="229"/>
      <c r="AR70" s="212">
        <v>202.18</v>
      </c>
      <c r="AS70" s="212">
        <f t="shared" si="3"/>
        <v>0</v>
      </c>
      <c r="AT70" s="247">
        <f t="shared" si="6"/>
        <v>210</v>
      </c>
      <c r="AU70" s="228">
        <f t="shared" si="4"/>
        <v>42457.8</v>
      </c>
      <c r="AV70" s="279">
        <v>210</v>
      </c>
    </row>
    <row r="71" spans="1:48" s="62" customFormat="1" ht="26.25" customHeight="1">
      <c r="A71" s="59"/>
      <c r="B71" s="60"/>
      <c r="C71" s="60"/>
      <c r="D71" s="22"/>
      <c r="E71" s="79" t="s">
        <v>24</v>
      </c>
      <c r="F71" s="53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203" t="s">
        <v>161</v>
      </c>
      <c r="V71" s="115">
        <v>1053</v>
      </c>
      <c r="W71" s="114">
        <v>43255</v>
      </c>
      <c r="X71" s="193" t="s">
        <v>177</v>
      </c>
      <c r="Y71" s="200">
        <v>43285</v>
      </c>
      <c r="Z71" s="193" t="s">
        <v>178</v>
      </c>
      <c r="AA71" s="200">
        <v>43269</v>
      </c>
      <c r="AB71" s="22">
        <v>0</v>
      </c>
      <c r="AC71" s="170">
        <v>0</v>
      </c>
      <c r="AD71" s="209">
        <v>105</v>
      </c>
      <c r="AE71" s="194">
        <v>21228.9</v>
      </c>
      <c r="AF71" s="209"/>
      <c r="AG71" s="194"/>
      <c r="AH71" s="209"/>
      <c r="AI71" s="194"/>
      <c r="AJ71" s="232"/>
      <c r="AK71" s="170">
        <f t="shared" si="5"/>
        <v>21228.9</v>
      </c>
      <c r="AL71" s="272">
        <v>0</v>
      </c>
      <c r="AM71" s="212">
        <v>0</v>
      </c>
      <c r="AN71" s="269">
        <v>105</v>
      </c>
      <c r="AO71" s="217">
        <f t="shared" si="2"/>
        <v>21228.9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105</v>
      </c>
      <c r="AU71" s="228">
        <f t="shared" si="4"/>
        <v>21228.9</v>
      </c>
      <c r="AV71" s="279">
        <v>105</v>
      </c>
    </row>
    <row r="72" spans="1:48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187</v>
      </c>
      <c r="V72" s="115">
        <v>1418</v>
      </c>
      <c r="W72" s="114">
        <v>43312</v>
      </c>
      <c r="X72" s="193" t="s">
        <v>184</v>
      </c>
      <c r="Y72" s="200">
        <v>43332</v>
      </c>
      <c r="Z72" s="193" t="s">
        <v>185</v>
      </c>
      <c r="AA72" s="200">
        <v>43320</v>
      </c>
      <c r="AB72" s="22">
        <v>0</v>
      </c>
      <c r="AC72" s="170">
        <v>0</v>
      </c>
      <c r="AD72" s="209">
        <v>30</v>
      </c>
      <c r="AE72" s="194">
        <v>5880</v>
      </c>
      <c r="AF72" s="209"/>
      <c r="AG72" s="194"/>
      <c r="AH72" s="209"/>
      <c r="AI72" s="194"/>
      <c r="AJ72" s="232"/>
      <c r="AK72" s="170">
        <f t="shared" si="5"/>
        <v>5880</v>
      </c>
      <c r="AL72" s="272">
        <v>0</v>
      </c>
      <c r="AM72" s="212">
        <v>0</v>
      </c>
      <c r="AN72" s="269">
        <v>30</v>
      </c>
      <c r="AO72" s="217">
        <v>0</v>
      </c>
      <c r="AP72" s="232"/>
      <c r="AQ72" s="229"/>
      <c r="AR72" s="212">
        <v>196</v>
      </c>
      <c r="AS72" s="212">
        <f t="shared" si="3"/>
        <v>0</v>
      </c>
      <c r="AT72" s="247">
        <f t="shared" si="6"/>
        <v>30</v>
      </c>
      <c r="AU72" s="228">
        <f t="shared" si="4"/>
        <v>5880</v>
      </c>
      <c r="AV72" s="279">
        <v>30</v>
      </c>
    </row>
    <row r="73" spans="1:48" s="62" customFormat="1" ht="26.25" customHeight="1">
      <c r="A73" s="59"/>
      <c r="B73" s="60"/>
      <c r="C73" s="60"/>
      <c r="D73" s="22"/>
      <c r="E73" s="79"/>
      <c r="F73" s="53" t="s">
        <v>65</v>
      </c>
      <c r="G73" s="222" t="s">
        <v>111</v>
      </c>
      <c r="H73" s="193"/>
      <c r="I73" s="193"/>
      <c r="J73" s="193"/>
      <c r="K73" s="193"/>
      <c r="L73" s="243"/>
      <c r="M73" s="242"/>
      <c r="N73" s="243"/>
      <c r="O73" s="193"/>
      <c r="P73" s="243"/>
      <c r="Q73" s="193"/>
      <c r="R73" s="243"/>
      <c r="S73" s="193"/>
      <c r="T73" s="243"/>
      <c r="U73" s="203"/>
      <c r="V73" s="115"/>
      <c r="W73" s="114"/>
      <c r="X73" s="193"/>
      <c r="Y73" s="200"/>
      <c r="Z73" s="193"/>
      <c r="AA73" s="200"/>
      <c r="AB73" s="22"/>
      <c r="AC73" s="170"/>
      <c r="AD73" s="209"/>
      <c r="AE73" s="194"/>
      <c r="AF73" s="209"/>
      <c r="AG73" s="194"/>
      <c r="AH73" s="209"/>
      <c r="AI73" s="194"/>
      <c r="AJ73" s="232"/>
      <c r="AK73" s="170"/>
      <c r="AL73" s="272"/>
      <c r="AM73" s="212"/>
      <c r="AN73" s="269"/>
      <c r="AO73" s="217"/>
      <c r="AP73" s="232"/>
      <c r="AQ73" s="229"/>
      <c r="AR73" s="212"/>
      <c r="AS73" s="212"/>
      <c r="AT73" s="247">
        <f t="shared" si="6"/>
        <v>30</v>
      </c>
      <c r="AU73" s="228"/>
      <c r="AV73" s="279">
        <v>30</v>
      </c>
    </row>
    <row r="74" spans="1:48" s="62" customFormat="1" ht="26.25" hidden="1" customHeight="1">
      <c r="A74" s="59"/>
      <c r="B74" s="60"/>
      <c r="C74" s="60"/>
      <c r="D74" s="22"/>
      <c r="E74" s="79" t="s">
        <v>24</v>
      </c>
      <c r="F74" s="51" t="s">
        <v>249</v>
      </c>
      <c r="G74" s="275" t="s">
        <v>146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>
        <v>250</v>
      </c>
      <c r="P74" s="276">
        <v>66042.58</v>
      </c>
      <c r="Q74" s="115"/>
      <c r="R74" s="276"/>
      <c r="S74" s="115"/>
      <c r="T74" s="276"/>
      <c r="U74" s="278" t="s">
        <v>181</v>
      </c>
      <c r="V74" s="115">
        <v>1405</v>
      </c>
      <c r="W74" s="114">
        <v>43052</v>
      </c>
      <c r="X74" s="115" t="s">
        <v>182</v>
      </c>
      <c r="Y74" s="221">
        <v>43201</v>
      </c>
      <c r="Z74" s="115"/>
      <c r="AA74" s="115"/>
      <c r="AB74" s="22">
        <v>0</v>
      </c>
      <c r="AC74" s="170">
        <v>0</v>
      </c>
      <c r="AD74" s="208">
        <v>125</v>
      </c>
      <c r="AE74" s="170">
        <v>26255</v>
      </c>
      <c r="AF74" s="208"/>
      <c r="AG74" s="170"/>
      <c r="AH74" s="208"/>
      <c r="AI74" s="170"/>
      <c r="AJ74" s="232"/>
      <c r="AK74" s="170">
        <f t="shared" si="5"/>
        <v>26255</v>
      </c>
      <c r="AL74" s="270">
        <f>63+62</f>
        <v>125</v>
      </c>
      <c r="AM74" s="170">
        <v>26255</v>
      </c>
      <c r="AN74" s="270">
        <v>0</v>
      </c>
      <c r="AO74" s="170">
        <f t="shared" si="2"/>
        <v>0</v>
      </c>
      <c r="AP74" s="233"/>
      <c r="AQ74" s="233"/>
      <c r="AR74" s="170">
        <v>210.04</v>
      </c>
      <c r="AS74" s="170">
        <f t="shared" si="3"/>
        <v>0</v>
      </c>
      <c r="AT74" s="247">
        <f t="shared" si="6"/>
        <v>0</v>
      </c>
      <c r="AU74" s="170">
        <f t="shared" si="4"/>
        <v>0</v>
      </c>
      <c r="AV74" s="233">
        <v>0</v>
      </c>
    </row>
    <row r="75" spans="1:48" s="62" customFormat="1" ht="26.25" hidden="1" customHeight="1">
      <c r="A75" s="59"/>
      <c r="B75" s="60"/>
      <c r="C75" s="60"/>
      <c r="D75" s="22"/>
      <c r="E75" s="79" t="s">
        <v>24</v>
      </c>
      <c r="F75" s="51" t="s">
        <v>249</v>
      </c>
      <c r="G75" s="275" t="s">
        <v>146</v>
      </c>
      <c r="H75" s="115" t="s">
        <v>91</v>
      </c>
      <c r="I75" s="115" t="s">
        <v>91</v>
      </c>
      <c r="J75" s="115"/>
      <c r="K75" s="115"/>
      <c r="L75" s="276"/>
      <c r="M75" s="277">
        <f t="shared" si="0"/>
        <v>0</v>
      </c>
      <c r="N75" s="276">
        <f t="shared" si="1"/>
        <v>0</v>
      </c>
      <c r="O75" s="115"/>
      <c r="P75" s="276"/>
      <c r="Q75" s="115"/>
      <c r="R75" s="276"/>
      <c r="S75" s="115"/>
      <c r="T75" s="276"/>
      <c r="U75" s="278" t="s">
        <v>145</v>
      </c>
      <c r="V75" s="115">
        <v>1381</v>
      </c>
      <c r="W75" s="114">
        <v>43047</v>
      </c>
      <c r="X75" s="115" t="s">
        <v>144</v>
      </c>
      <c r="Y75" s="221">
        <v>43201</v>
      </c>
      <c r="Z75" s="115"/>
      <c r="AA75" s="115"/>
      <c r="AB75" s="22">
        <v>0</v>
      </c>
      <c r="AC75" s="170">
        <v>0</v>
      </c>
      <c r="AD75" s="208">
        <v>80</v>
      </c>
      <c r="AE75" s="170">
        <v>16803.2</v>
      </c>
      <c r="AF75" s="208"/>
      <c r="AG75" s="170"/>
      <c r="AH75" s="208"/>
      <c r="AI75" s="170"/>
      <c r="AJ75" s="232"/>
      <c r="AK75" s="170">
        <f t="shared" si="5"/>
        <v>16803.2</v>
      </c>
      <c r="AL75" s="270">
        <v>80</v>
      </c>
      <c r="AM75" s="170">
        <v>16803.2</v>
      </c>
      <c r="AN75" s="270">
        <v>0</v>
      </c>
      <c r="AO75" s="170">
        <f t="shared" si="2"/>
        <v>0</v>
      </c>
      <c r="AP75" s="233"/>
      <c r="AQ75" s="233"/>
      <c r="AR75" s="170">
        <f>AM75/AL75</f>
        <v>210.04000000000002</v>
      </c>
      <c r="AS75" s="170">
        <f t="shared" si="3"/>
        <v>0</v>
      </c>
      <c r="AT75" s="247">
        <f t="shared" si="6"/>
        <v>0</v>
      </c>
      <c r="AU75" s="170">
        <f t="shared" si="4"/>
        <v>0</v>
      </c>
      <c r="AV75" s="233">
        <v>0</v>
      </c>
    </row>
    <row r="76" spans="1:48" s="62" customFormat="1" ht="26.25" hidden="1" customHeight="1">
      <c r="A76" s="59"/>
      <c r="B76" s="60"/>
      <c r="C76" s="60"/>
      <c r="D76" s="22"/>
      <c r="E76" s="79" t="s">
        <v>24</v>
      </c>
      <c r="F76" s="51" t="s">
        <v>249</v>
      </c>
      <c r="G76" s="275" t="s">
        <v>146</v>
      </c>
      <c r="H76" s="115" t="s">
        <v>91</v>
      </c>
      <c r="I76" s="115" t="s">
        <v>91</v>
      </c>
      <c r="J76" s="115"/>
      <c r="K76" s="115"/>
      <c r="L76" s="276"/>
      <c r="M76" s="277">
        <f t="shared" si="0"/>
        <v>0</v>
      </c>
      <c r="N76" s="276">
        <f t="shared" si="1"/>
        <v>0</v>
      </c>
      <c r="O76" s="115"/>
      <c r="P76" s="276"/>
      <c r="Q76" s="115"/>
      <c r="R76" s="276"/>
      <c r="S76" s="115"/>
      <c r="T76" s="276"/>
      <c r="U76" s="278" t="s">
        <v>148</v>
      </c>
      <c r="V76" s="115">
        <v>546</v>
      </c>
      <c r="W76" s="114">
        <v>43182</v>
      </c>
      <c r="X76" s="115" t="s">
        <v>149</v>
      </c>
      <c r="Y76" s="221">
        <v>43201</v>
      </c>
      <c r="Z76" s="115" t="s">
        <v>147</v>
      </c>
      <c r="AA76" s="221">
        <v>43252</v>
      </c>
      <c r="AB76" s="22">
        <v>0</v>
      </c>
      <c r="AC76" s="170">
        <v>0</v>
      </c>
      <c r="AD76" s="208">
        <v>10</v>
      </c>
      <c r="AE76" s="170">
        <v>2038.7</v>
      </c>
      <c r="AF76" s="208"/>
      <c r="AG76" s="170"/>
      <c r="AH76" s="208"/>
      <c r="AI76" s="170"/>
      <c r="AJ76" s="232"/>
      <c r="AK76" s="170">
        <f t="shared" si="5"/>
        <v>2038.7</v>
      </c>
      <c r="AL76" s="270">
        <v>10</v>
      </c>
      <c r="AM76" s="170">
        <v>2038.7</v>
      </c>
      <c r="AN76" s="270">
        <v>0</v>
      </c>
      <c r="AO76" s="170">
        <f t="shared" si="2"/>
        <v>0</v>
      </c>
      <c r="AP76" s="233"/>
      <c r="AQ76" s="233"/>
      <c r="AR76" s="170">
        <f>AM76/AL76</f>
        <v>203.87</v>
      </c>
      <c r="AS76" s="170">
        <f t="shared" si="3"/>
        <v>0</v>
      </c>
      <c r="AT76" s="247">
        <f t="shared" si="6"/>
        <v>0</v>
      </c>
      <c r="AU76" s="170">
        <f t="shared" si="4"/>
        <v>0</v>
      </c>
      <c r="AV76" s="233">
        <v>0</v>
      </c>
    </row>
    <row r="77" spans="1:48" s="62" customFormat="1" ht="25.5" hidden="1" customHeight="1">
      <c r="A77" s="59"/>
      <c r="B77" s="60"/>
      <c r="C77" s="60"/>
      <c r="D77" s="22"/>
      <c r="E77" s="79" t="s">
        <v>24</v>
      </c>
      <c r="F77" s="51" t="s">
        <v>250</v>
      </c>
      <c r="G77" s="275" t="s">
        <v>140</v>
      </c>
      <c r="H77" s="115" t="s">
        <v>91</v>
      </c>
      <c r="I77" s="115" t="s">
        <v>91</v>
      </c>
      <c r="J77" s="115">
        <v>1080</v>
      </c>
      <c r="K77" s="115">
        <v>2</v>
      </c>
      <c r="L77" s="276">
        <v>304.58999999999997</v>
      </c>
      <c r="M77" s="277">
        <f t="shared" si="0"/>
        <v>2160</v>
      </c>
      <c r="N77" s="276">
        <f t="shared" si="1"/>
        <v>657914.39999999991</v>
      </c>
      <c r="O77" s="115">
        <v>180</v>
      </c>
      <c r="P77" s="276">
        <v>49908.6</v>
      </c>
      <c r="Q77" s="115">
        <v>1080</v>
      </c>
      <c r="R77" s="276">
        <v>323838</v>
      </c>
      <c r="S77" s="115">
        <v>602</v>
      </c>
      <c r="T77" s="276">
        <v>183363.18</v>
      </c>
      <c r="U77" s="278" t="s">
        <v>139</v>
      </c>
      <c r="V77" s="115">
        <v>427</v>
      </c>
      <c r="W77" s="114">
        <v>43164</v>
      </c>
      <c r="X77" s="115" t="s">
        <v>138</v>
      </c>
      <c r="Y77" s="221">
        <v>43164</v>
      </c>
      <c r="Z77" s="115"/>
      <c r="AA77" s="115"/>
      <c r="AB77" s="22">
        <v>0</v>
      </c>
      <c r="AC77" s="170">
        <v>0</v>
      </c>
      <c r="AD77" s="208">
        <v>56</v>
      </c>
      <c r="AE77" s="170">
        <v>16794.400000000001</v>
      </c>
      <c r="AF77" s="208"/>
      <c r="AG77" s="170"/>
      <c r="AH77" s="208"/>
      <c r="AI77" s="170"/>
      <c r="AJ77" s="232"/>
      <c r="AK77" s="170">
        <f t="shared" si="5"/>
        <v>16794.400000000001</v>
      </c>
      <c r="AL77" s="270">
        <v>0</v>
      </c>
      <c r="AM77" s="170">
        <v>0</v>
      </c>
      <c r="AN77" s="270">
        <v>56</v>
      </c>
      <c r="AO77" s="170">
        <f t="shared" si="2"/>
        <v>16794.400000000001</v>
      </c>
      <c r="AP77" s="233"/>
      <c r="AQ77" s="233"/>
      <c r="AR77" s="170">
        <v>299.89999999999998</v>
      </c>
      <c r="AS77" s="170">
        <f t="shared" si="3"/>
        <v>0</v>
      </c>
      <c r="AT77" s="247">
        <f t="shared" si="6"/>
        <v>0</v>
      </c>
      <c r="AU77" s="386">
        <f t="shared" si="4"/>
        <v>0</v>
      </c>
      <c r="AV77" s="279">
        <v>0</v>
      </c>
    </row>
    <row r="78" spans="1:48" s="62" customFormat="1" ht="25.5" customHeight="1">
      <c r="A78" s="59"/>
      <c r="B78" s="60"/>
      <c r="C78" s="60"/>
      <c r="D78" s="22"/>
      <c r="E78" s="79"/>
      <c r="F78" s="51" t="s">
        <v>247</v>
      </c>
      <c r="G78" s="275" t="s">
        <v>114</v>
      </c>
      <c r="H78" s="115"/>
      <c r="I78" s="115"/>
      <c r="J78" s="115"/>
      <c r="K78" s="115"/>
      <c r="L78" s="276"/>
      <c r="M78" s="277"/>
      <c r="N78" s="276"/>
      <c r="O78" s="115"/>
      <c r="P78" s="276"/>
      <c r="Q78" s="115"/>
      <c r="R78" s="276"/>
      <c r="S78" s="115"/>
      <c r="T78" s="276"/>
      <c r="U78" s="278" t="s">
        <v>263</v>
      </c>
      <c r="V78" s="115"/>
      <c r="W78" s="114"/>
      <c r="X78" s="115"/>
      <c r="Y78" s="221"/>
      <c r="Z78" s="115"/>
      <c r="AA78" s="115"/>
      <c r="AB78" s="22"/>
      <c r="AC78" s="170"/>
      <c r="AD78" s="208"/>
      <c r="AE78" s="170"/>
      <c r="AF78" s="208"/>
      <c r="AG78" s="170"/>
      <c r="AH78" s="208"/>
      <c r="AI78" s="170"/>
      <c r="AJ78" s="233">
        <v>36</v>
      </c>
      <c r="AK78" s="170"/>
      <c r="AL78" s="270"/>
      <c r="AM78" s="170"/>
      <c r="AN78" s="270"/>
      <c r="AO78" s="170"/>
      <c r="AP78" s="233"/>
      <c r="AQ78" s="233"/>
      <c r="AR78" s="170"/>
      <c r="AS78" s="170"/>
      <c r="AT78" s="233">
        <f t="shared" si="6"/>
        <v>0</v>
      </c>
      <c r="AU78" s="386"/>
      <c r="AV78" s="233">
        <v>0</v>
      </c>
    </row>
    <row r="79" spans="1:48" s="62" customFormat="1" ht="25.5" customHeight="1">
      <c r="A79" s="59"/>
      <c r="B79" s="60"/>
      <c r="C79" s="60"/>
      <c r="D79" s="22"/>
      <c r="E79" s="79"/>
      <c r="F79" s="51" t="s">
        <v>247</v>
      </c>
      <c r="G79" s="275" t="s">
        <v>114</v>
      </c>
      <c r="H79" s="115"/>
      <c r="I79" s="115"/>
      <c r="J79" s="115"/>
      <c r="K79" s="115"/>
      <c r="L79" s="276"/>
      <c r="M79" s="277"/>
      <c r="N79" s="276"/>
      <c r="O79" s="115"/>
      <c r="P79" s="276"/>
      <c r="Q79" s="115"/>
      <c r="R79" s="276"/>
      <c r="S79" s="115"/>
      <c r="T79" s="276"/>
      <c r="U79" s="278" t="s">
        <v>262</v>
      </c>
      <c r="V79" s="115"/>
      <c r="W79" s="114"/>
      <c r="X79" s="115"/>
      <c r="Y79" s="221"/>
      <c r="Z79" s="115"/>
      <c r="AA79" s="115"/>
      <c r="AB79" s="22"/>
      <c r="AC79" s="170"/>
      <c r="AD79" s="208"/>
      <c r="AE79" s="170"/>
      <c r="AF79" s="208"/>
      <c r="AG79" s="170"/>
      <c r="AH79" s="208"/>
      <c r="AI79" s="170"/>
      <c r="AJ79" s="233">
        <v>234</v>
      </c>
      <c r="AK79" s="170"/>
      <c r="AL79" s="270"/>
      <c r="AM79" s="170"/>
      <c r="AN79" s="270"/>
      <c r="AO79" s="170"/>
      <c r="AP79" s="233"/>
      <c r="AQ79" s="233"/>
      <c r="AR79" s="170"/>
      <c r="AS79" s="170"/>
      <c r="AT79" s="233">
        <f t="shared" si="6"/>
        <v>0</v>
      </c>
      <c r="AU79" s="386"/>
      <c r="AV79" s="233">
        <v>0</v>
      </c>
    </row>
    <row r="80" spans="1:48" s="62" customFormat="1" ht="25.5" customHeight="1">
      <c r="A80" s="59"/>
      <c r="B80" s="60"/>
      <c r="C80" s="60"/>
      <c r="D80" s="22"/>
      <c r="E80" s="79"/>
      <c r="F80" s="51" t="s">
        <v>247</v>
      </c>
      <c r="G80" s="275" t="s">
        <v>114</v>
      </c>
      <c r="H80" s="115"/>
      <c r="I80" s="115"/>
      <c r="J80" s="115"/>
      <c r="K80" s="115"/>
      <c r="L80" s="276"/>
      <c r="M80" s="277"/>
      <c r="N80" s="276"/>
      <c r="O80" s="115"/>
      <c r="P80" s="276"/>
      <c r="Q80" s="115"/>
      <c r="R80" s="276"/>
      <c r="S80" s="115"/>
      <c r="T80" s="276"/>
      <c r="U80" s="278" t="s">
        <v>263</v>
      </c>
      <c r="V80" s="115"/>
      <c r="W80" s="114"/>
      <c r="X80" s="115"/>
      <c r="Y80" s="221"/>
      <c r="Z80" s="115"/>
      <c r="AA80" s="115"/>
      <c r="AB80" s="22"/>
      <c r="AC80" s="170"/>
      <c r="AD80" s="208"/>
      <c r="AE80" s="170"/>
      <c r="AF80" s="208"/>
      <c r="AG80" s="170"/>
      <c r="AH80" s="208"/>
      <c r="AI80" s="170"/>
      <c r="AJ80" s="233">
        <v>14</v>
      </c>
      <c r="AK80" s="170"/>
      <c r="AL80" s="270"/>
      <c r="AM80" s="170"/>
      <c r="AN80" s="270"/>
      <c r="AO80" s="170"/>
      <c r="AP80" s="233"/>
      <c r="AQ80" s="233"/>
      <c r="AR80" s="170"/>
      <c r="AS80" s="170"/>
      <c r="AT80" s="233">
        <f t="shared" si="6"/>
        <v>0</v>
      </c>
      <c r="AU80" s="386"/>
      <c r="AV80" s="233">
        <v>0</v>
      </c>
    </row>
    <row r="81" spans="1:48" s="62" customFormat="1" ht="25.5" customHeight="1">
      <c r="A81" s="59"/>
      <c r="B81" s="60"/>
      <c r="C81" s="60"/>
      <c r="D81" s="22"/>
      <c r="E81" s="79"/>
      <c r="F81" s="140" t="s">
        <v>55</v>
      </c>
      <c r="G81" s="222" t="s">
        <v>114</v>
      </c>
      <c r="H81" s="115"/>
      <c r="I81" s="115"/>
      <c r="J81" s="115"/>
      <c r="K81" s="115"/>
      <c r="L81" s="276"/>
      <c r="M81" s="277"/>
      <c r="N81" s="276"/>
      <c r="O81" s="115"/>
      <c r="P81" s="276"/>
      <c r="Q81" s="115"/>
      <c r="R81" s="276"/>
      <c r="S81" s="115"/>
      <c r="T81" s="276"/>
      <c r="U81" s="203" t="s">
        <v>283</v>
      </c>
      <c r="V81" s="115"/>
      <c r="W81" s="114"/>
      <c r="X81" s="115"/>
      <c r="Y81" s="221"/>
      <c r="Z81" s="115"/>
      <c r="AA81" s="115"/>
      <c r="AB81" s="22"/>
      <c r="AC81" s="170"/>
      <c r="AD81" s="208"/>
      <c r="AE81" s="170"/>
      <c r="AF81" s="208"/>
      <c r="AG81" s="170"/>
      <c r="AH81" s="208"/>
      <c r="AI81" s="170"/>
      <c r="AJ81" s="232">
        <v>76</v>
      </c>
      <c r="AK81" s="170"/>
      <c r="AL81" s="270"/>
      <c r="AM81" s="170"/>
      <c r="AN81" s="270"/>
      <c r="AO81" s="170"/>
      <c r="AP81" s="233"/>
      <c r="AQ81" s="233"/>
      <c r="AR81" s="170"/>
      <c r="AS81" s="170"/>
      <c r="AT81" s="247">
        <f t="shared" si="6"/>
        <v>60</v>
      </c>
      <c r="AU81" s="386"/>
      <c r="AV81" s="279">
        <v>60</v>
      </c>
    </row>
    <row r="82" spans="1:48" s="62" customFormat="1" ht="25.5" customHeight="1">
      <c r="A82" s="59"/>
      <c r="B82" s="60"/>
      <c r="C82" s="427"/>
      <c r="D82" s="428"/>
      <c r="E82" s="79"/>
      <c r="F82" s="140" t="s">
        <v>55</v>
      </c>
      <c r="G82" s="222" t="s">
        <v>114</v>
      </c>
      <c r="H82" s="115"/>
      <c r="I82" s="115"/>
      <c r="J82" s="115"/>
      <c r="K82" s="115"/>
      <c r="L82" s="276"/>
      <c r="M82" s="277"/>
      <c r="N82" s="276"/>
      <c r="O82" s="115"/>
      <c r="P82" s="276"/>
      <c r="Q82" s="115"/>
      <c r="R82" s="276"/>
      <c r="S82" s="115"/>
      <c r="T82" s="276"/>
      <c r="U82" s="657" t="s">
        <v>356</v>
      </c>
      <c r="V82" s="115"/>
      <c r="W82" s="114"/>
      <c r="X82" s="115"/>
      <c r="Y82" s="221"/>
      <c r="Z82" s="115"/>
      <c r="AA82" s="115"/>
      <c r="AB82" s="22"/>
      <c r="AC82" s="170"/>
      <c r="AD82" s="208"/>
      <c r="AE82" s="170"/>
      <c r="AF82" s="208"/>
      <c r="AG82" s="170"/>
      <c r="AH82" s="208"/>
      <c r="AI82" s="170"/>
      <c r="AJ82" s="232">
        <v>16</v>
      </c>
      <c r="AK82" s="170"/>
      <c r="AL82" s="270"/>
      <c r="AM82" s="170"/>
      <c r="AN82" s="270"/>
      <c r="AO82" s="170"/>
      <c r="AP82" s="233"/>
      <c r="AQ82" s="233"/>
      <c r="AR82" s="170"/>
      <c r="AS82" s="170"/>
      <c r="AT82" s="247">
        <f t="shared" si="6"/>
        <v>16</v>
      </c>
      <c r="AU82" s="386"/>
      <c r="AV82" s="279">
        <v>16</v>
      </c>
    </row>
    <row r="83" spans="1:48" s="62" customFormat="1" ht="25.5" customHeight="1">
      <c r="A83" s="59"/>
      <c r="B83" s="60"/>
      <c r="C83" s="427"/>
      <c r="D83" s="428"/>
      <c r="E83" s="79"/>
      <c r="F83" s="140" t="s">
        <v>55</v>
      </c>
      <c r="G83" s="222" t="s">
        <v>114</v>
      </c>
      <c r="H83" s="115"/>
      <c r="I83" s="115"/>
      <c r="J83" s="115"/>
      <c r="K83" s="115"/>
      <c r="L83" s="276"/>
      <c r="M83" s="277"/>
      <c r="N83" s="276"/>
      <c r="O83" s="115"/>
      <c r="P83" s="276"/>
      <c r="Q83" s="115"/>
      <c r="R83" s="276"/>
      <c r="S83" s="115"/>
      <c r="T83" s="276"/>
      <c r="U83" s="657" t="s">
        <v>357</v>
      </c>
      <c r="V83" s="115"/>
      <c r="W83" s="114"/>
      <c r="X83" s="115"/>
      <c r="Y83" s="221"/>
      <c r="Z83" s="115"/>
      <c r="AA83" s="115"/>
      <c r="AB83" s="22"/>
      <c r="AC83" s="170"/>
      <c r="AD83" s="208"/>
      <c r="AE83" s="170"/>
      <c r="AF83" s="208"/>
      <c r="AG83" s="170"/>
      <c r="AH83" s="208"/>
      <c r="AI83" s="170"/>
      <c r="AJ83" s="232">
        <v>50</v>
      </c>
      <c r="AK83" s="170"/>
      <c r="AL83" s="270"/>
      <c r="AM83" s="170"/>
      <c r="AN83" s="270"/>
      <c r="AO83" s="170"/>
      <c r="AP83" s="233"/>
      <c r="AQ83" s="233"/>
      <c r="AR83" s="170"/>
      <c r="AS83" s="170"/>
      <c r="AT83" s="247">
        <f t="shared" si="6"/>
        <v>50</v>
      </c>
      <c r="AU83" s="386"/>
      <c r="AV83" s="279">
        <v>50</v>
      </c>
    </row>
    <row r="84" spans="1:48" s="62" customFormat="1" ht="25.5" customHeight="1">
      <c r="A84" s="59"/>
      <c r="B84" s="60"/>
      <c r="C84" s="427"/>
      <c r="D84" s="428"/>
      <c r="E84" s="79"/>
      <c r="F84" s="140" t="s">
        <v>55</v>
      </c>
      <c r="G84" s="222" t="s">
        <v>114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657" t="s">
        <v>356</v>
      </c>
      <c r="V84" s="115"/>
      <c r="W84" s="114"/>
      <c r="X84" s="115"/>
      <c r="Y84" s="221"/>
      <c r="Z84" s="115"/>
      <c r="AA84" s="115"/>
      <c r="AB84" s="22"/>
      <c r="AC84" s="170"/>
      <c r="AD84" s="208"/>
      <c r="AE84" s="170"/>
      <c r="AF84" s="208"/>
      <c r="AG84" s="170"/>
      <c r="AH84" s="208"/>
      <c r="AI84" s="170"/>
      <c r="AJ84" s="232">
        <v>24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47">
        <f t="shared" si="6"/>
        <v>24</v>
      </c>
      <c r="AU84" s="386"/>
      <c r="AV84" s="279">
        <v>24</v>
      </c>
    </row>
    <row r="85" spans="1:48" s="62" customFormat="1" ht="25.5" customHeight="1">
      <c r="A85" s="59"/>
      <c r="B85" s="60"/>
      <c r="C85" s="60"/>
      <c r="D85" s="22"/>
      <c r="E85" s="79"/>
      <c r="F85" s="173" t="s">
        <v>64</v>
      </c>
      <c r="G85" s="222" t="s">
        <v>140</v>
      </c>
      <c r="H85" s="193"/>
      <c r="I85" s="193"/>
      <c r="J85" s="193"/>
      <c r="K85" s="193"/>
      <c r="L85" s="243"/>
      <c r="M85" s="242"/>
      <c r="N85" s="243"/>
      <c r="O85" s="193"/>
      <c r="P85" s="243"/>
      <c r="Q85" s="193"/>
      <c r="R85" s="243"/>
      <c r="S85" s="193"/>
      <c r="T85" s="243"/>
      <c r="U85" s="203" t="s">
        <v>244</v>
      </c>
      <c r="V85" s="115"/>
      <c r="W85" s="114"/>
      <c r="X85" s="193"/>
      <c r="Y85" s="200"/>
      <c r="Z85" s="193"/>
      <c r="AA85" s="200"/>
      <c r="AB85" s="22"/>
      <c r="AC85" s="170"/>
      <c r="AD85" s="209"/>
      <c r="AE85" s="194"/>
      <c r="AF85" s="209"/>
      <c r="AG85" s="194"/>
      <c r="AH85" s="209"/>
      <c r="AI85" s="194"/>
      <c r="AJ85" s="232"/>
      <c r="AK85" s="170"/>
      <c r="AL85" s="272"/>
      <c r="AM85" s="212"/>
      <c r="AN85" s="269"/>
      <c r="AO85" s="217"/>
      <c r="AP85" s="232"/>
      <c r="AQ85" s="229"/>
      <c r="AR85" s="212"/>
      <c r="AS85" s="212"/>
      <c r="AT85" s="247">
        <f t="shared" si="6"/>
        <v>236</v>
      </c>
      <c r="AU85" s="228"/>
      <c r="AV85" s="279">
        <v>236</v>
      </c>
    </row>
    <row r="86" spans="1:48" s="62" customFormat="1" ht="25.5" customHeight="1">
      <c r="A86" s="59"/>
      <c r="B86" s="60"/>
      <c r="C86" s="60"/>
      <c r="D86" s="22"/>
      <c r="E86" s="79"/>
      <c r="F86" s="173" t="s">
        <v>64</v>
      </c>
      <c r="G86" s="222" t="s">
        <v>140</v>
      </c>
      <c r="H86" s="193"/>
      <c r="I86" s="193"/>
      <c r="J86" s="193"/>
      <c r="K86" s="193"/>
      <c r="L86" s="243"/>
      <c r="M86" s="242"/>
      <c r="N86" s="243"/>
      <c r="O86" s="193"/>
      <c r="P86" s="243"/>
      <c r="Q86" s="193"/>
      <c r="R86" s="243"/>
      <c r="S86" s="193"/>
      <c r="T86" s="243"/>
      <c r="U86" s="203" t="s">
        <v>264</v>
      </c>
      <c r="V86" s="115"/>
      <c r="W86" s="114"/>
      <c r="X86" s="193"/>
      <c r="Y86" s="200"/>
      <c r="Z86" s="193"/>
      <c r="AA86" s="200"/>
      <c r="AB86" s="22"/>
      <c r="AC86" s="170"/>
      <c r="AD86" s="209"/>
      <c r="AE86" s="194"/>
      <c r="AF86" s="209"/>
      <c r="AG86" s="194"/>
      <c r="AH86" s="209"/>
      <c r="AI86" s="194"/>
      <c r="AJ86" s="232">
        <v>224</v>
      </c>
      <c r="AK86" s="170"/>
      <c r="AL86" s="272"/>
      <c r="AM86" s="212"/>
      <c r="AN86" s="269"/>
      <c r="AO86" s="217"/>
      <c r="AP86" s="232"/>
      <c r="AQ86" s="229"/>
      <c r="AR86" s="212"/>
      <c r="AS86" s="212"/>
      <c r="AT86" s="247">
        <f t="shared" si="6"/>
        <v>224</v>
      </c>
      <c r="AU86" s="228"/>
      <c r="AV86" s="279">
        <v>224</v>
      </c>
    </row>
    <row r="87" spans="1:48" s="62" customFormat="1" ht="25.5" customHeight="1">
      <c r="A87" s="59"/>
      <c r="B87" s="60"/>
      <c r="C87" s="60"/>
      <c r="D87" s="22"/>
      <c r="E87" s="79"/>
      <c r="F87" s="173" t="s">
        <v>64</v>
      </c>
      <c r="G87" s="222" t="s">
        <v>140</v>
      </c>
      <c r="H87" s="193"/>
      <c r="I87" s="193"/>
      <c r="J87" s="193"/>
      <c r="K87" s="193"/>
      <c r="L87" s="243"/>
      <c r="M87" s="242"/>
      <c r="N87" s="243"/>
      <c r="O87" s="193"/>
      <c r="P87" s="243"/>
      <c r="Q87" s="193"/>
      <c r="R87" s="243"/>
      <c r="S87" s="193"/>
      <c r="T87" s="243"/>
      <c r="U87" s="203" t="s">
        <v>244</v>
      </c>
      <c r="V87" s="115"/>
      <c r="W87" s="114"/>
      <c r="X87" s="193"/>
      <c r="Y87" s="200"/>
      <c r="Z87" s="193"/>
      <c r="AA87" s="200"/>
      <c r="AB87" s="22"/>
      <c r="AC87" s="170"/>
      <c r="AD87" s="209"/>
      <c r="AE87" s="194"/>
      <c r="AF87" s="209"/>
      <c r="AG87" s="194"/>
      <c r="AH87" s="209"/>
      <c r="AI87" s="194"/>
      <c r="AJ87" s="232">
        <v>176</v>
      </c>
      <c r="AK87" s="170"/>
      <c r="AL87" s="272"/>
      <c r="AM87" s="212"/>
      <c r="AN87" s="269"/>
      <c r="AO87" s="217"/>
      <c r="AP87" s="232"/>
      <c r="AQ87" s="229"/>
      <c r="AR87" s="212"/>
      <c r="AS87" s="212"/>
      <c r="AT87" s="247">
        <f t="shared" si="6"/>
        <v>176</v>
      </c>
      <c r="AU87" s="228"/>
      <c r="AV87" s="279">
        <v>176</v>
      </c>
    </row>
    <row r="88" spans="1:48" s="62" customFormat="1" ht="25.5" customHeight="1">
      <c r="A88" s="59"/>
      <c r="B88" s="60"/>
      <c r="C88" s="60"/>
      <c r="D88" s="22"/>
      <c r="E88" s="79"/>
      <c r="F88" s="173" t="s">
        <v>64</v>
      </c>
      <c r="G88" s="222" t="s">
        <v>140</v>
      </c>
      <c r="H88" s="193"/>
      <c r="I88" s="193"/>
      <c r="J88" s="193"/>
      <c r="K88" s="193"/>
      <c r="L88" s="243"/>
      <c r="M88" s="242"/>
      <c r="N88" s="243"/>
      <c r="O88" s="193"/>
      <c r="P88" s="243"/>
      <c r="Q88" s="193"/>
      <c r="R88" s="243"/>
      <c r="S88" s="193"/>
      <c r="T88" s="243"/>
      <c r="U88" s="203" t="s">
        <v>285</v>
      </c>
      <c r="V88" s="115"/>
      <c r="W88" s="114"/>
      <c r="X88" s="193"/>
      <c r="Y88" s="200"/>
      <c r="Z88" s="193"/>
      <c r="AA88" s="200"/>
      <c r="AB88" s="22"/>
      <c r="AC88" s="170"/>
      <c r="AD88" s="209"/>
      <c r="AE88" s="194"/>
      <c r="AF88" s="209"/>
      <c r="AG88" s="194"/>
      <c r="AH88" s="209"/>
      <c r="AI88" s="194"/>
      <c r="AJ88" s="232">
        <v>154</v>
      </c>
      <c r="AK88" s="170"/>
      <c r="AL88" s="272"/>
      <c r="AM88" s="212"/>
      <c r="AN88" s="269"/>
      <c r="AO88" s="217"/>
      <c r="AP88" s="232"/>
      <c r="AQ88" s="229"/>
      <c r="AR88" s="212"/>
      <c r="AS88" s="212"/>
      <c r="AT88" s="247">
        <f t="shared" si="6"/>
        <v>154</v>
      </c>
      <c r="AU88" s="228"/>
      <c r="AV88" s="279">
        <v>154</v>
      </c>
    </row>
    <row r="89" spans="1:48" s="62" customFormat="1" ht="25.5" customHeight="1">
      <c r="A89" s="59"/>
      <c r="B89" s="60"/>
      <c r="C89" s="60"/>
      <c r="D89" s="22"/>
      <c r="E89" s="79"/>
      <c r="F89" s="173" t="s">
        <v>64</v>
      </c>
      <c r="G89" s="222" t="s">
        <v>140</v>
      </c>
      <c r="H89" s="193"/>
      <c r="I89" s="193"/>
      <c r="J89" s="193"/>
      <c r="K89" s="193"/>
      <c r="L89" s="243"/>
      <c r="M89" s="242"/>
      <c r="N89" s="243"/>
      <c r="O89" s="193"/>
      <c r="P89" s="243"/>
      <c r="Q89" s="193"/>
      <c r="R89" s="243"/>
      <c r="S89" s="193"/>
      <c r="T89" s="243"/>
      <c r="U89" s="203" t="s">
        <v>293</v>
      </c>
      <c r="V89" s="115"/>
      <c r="W89" s="114"/>
      <c r="X89" s="193"/>
      <c r="Y89" s="200"/>
      <c r="Z89" s="193"/>
      <c r="AA89" s="200"/>
      <c r="AB89" s="22"/>
      <c r="AC89" s="170"/>
      <c r="AD89" s="209"/>
      <c r="AE89" s="194"/>
      <c r="AF89" s="209"/>
      <c r="AG89" s="194"/>
      <c r="AH89" s="209"/>
      <c r="AI89" s="194"/>
      <c r="AJ89" s="232">
        <v>84</v>
      </c>
      <c r="AK89" s="170"/>
      <c r="AL89" s="272"/>
      <c r="AM89" s="212"/>
      <c r="AN89" s="269"/>
      <c r="AO89" s="217"/>
      <c r="AP89" s="232"/>
      <c r="AQ89" s="229"/>
      <c r="AR89" s="212"/>
      <c r="AS89" s="212"/>
      <c r="AT89" s="247">
        <f t="shared" ref="AT89:AT106" si="9">AV89</f>
        <v>84</v>
      </c>
      <c r="AU89" s="228"/>
      <c r="AV89" s="279">
        <v>84</v>
      </c>
    </row>
    <row r="90" spans="1:48" s="62" customFormat="1" ht="25.5" customHeight="1">
      <c r="A90" s="59"/>
      <c r="B90" s="60"/>
      <c r="C90" s="60"/>
      <c r="D90" s="22"/>
      <c r="E90" s="79"/>
      <c r="F90" s="173" t="s">
        <v>64</v>
      </c>
      <c r="G90" s="222" t="s">
        <v>140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293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>
        <v>48</v>
      </c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9"/>
        <v>48</v>
      </c>
      <c r="AU90" s="228"/>
      <c r="AV90" s="279">
        <v>48</v>
      </c>
    </row>
    <row r="91" spans="1:48" s="62" customFormat="1" ht="25.5" customHeight="1">
      <c r="A91" s="59"/>
      <c r="B91" s="60"/>
      <c r="C91" s="60"/>
      <c r="D91" s="22"/>
      <c r="E91" s="79"/>
      <c r="F91" s="173" t="s">
        <v>64</v>
      </c>
      <c r="G91" s="222" t="s">
        <v>140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323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36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9"/>
        <v>36</v>
      </c>
      <c r="AU91" s="228"/>
      <c r="AV91" s="279">
        <v>36</v>
      </c>
    </row>
    <row r="92" spans="1:48" s="62" customFormat="1" ht="25.5" customHeight="1">
      <c r="A92" s="59"/>
      <c r="B92" s="60"/>
      <c r="C92" s="427"/>
      <c r="D92" s="428"/>
      <c r="E92" s="79"/>
      <c r="F92" s="173" t="s">
        <v>64</v>
      </c>
      <c r="G92" s="222" t="s">
        <v>140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657" t="s">
        <v>358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60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9"/>
        <v>60</v>
      </c>
      <c r="AU92" s="228"/>
      <c r="AV92" s="279">
        <v>60</v>
      </c>
    </row>
    <row r="93" spans="1:48" s="62" customFormat="1" ht="25.5" customHeight="1">
      <c r="A93" s="59"/>
      <c r="B93" s="60"/>
      <c r="C93" s="427"/>
      <c r="D93" s="428"/>
      <c r="E93" s="79"/>
      <c r="F93" s="173" t="s">
        <v>64</v>
      </c>
      <c r="G93" s="222" t="s">
        <v>140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657" t="s">
        <v>358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156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9"/>
        <v>156</v>
      </c>
      <c r="AU93" s="228"/>
      <c r="AV93" s="279">
        <v>156</v>
      </c>
    </row>
    <row r="94" spans="1:48" s="62" customFormat="1" ht="25.5" customHeight="1">
      <c r="A94" s="59"/>
      <c r="B94" s="60"/>
      <c r="C94" s="427"/>
      <c r="D94" s="428"/>
      <c r="E94" s="79"/>
      <c r="F94" s="173" t="s">
        <v>64</v>
      </c>
      <c r="G94" s="222" t="s">
        <v>140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657" t="s">
        <v>361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134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si="9"/>
        <v>134</v>
      </c>
      <c r="AU94" s="228"/>
      <c r="AV94" s="279">
        <v>134</v>
      </c>
    </row>
    <row r="95" spans="1:48" s="62" customFormat="1" ht="31.5">
      <c r="A95" s="59"/>
      <c r="B95" s="60"/>
      <c r="C95" s="60"/>
      <c r="D95" s="22"/>
      <c r="E95" s="79"/>
      <c r="F95" s="51" t="s">
        <v>57</v>
      </c>
      <c r="G95" s="275" t="s">
        <v>121</v>
      </c>
      <c r="H95" s="115"/>
      <c r="I95" s="115"/>
      <c r="J95" s="115"/>
      <c r="K95" s="115"/>
      <c r="L95" s="276"/>
      <c r="M95" s="277"/>
      <c r="N95" s="276"/>
      <c r="O95" s="115"/>
      <c r="P95" s="276"/>
      <c r="Q95" s="115"/>
      <c r="R95" s="276"/>
      <c r="S95" s="115"/>
      <c r="T95" s="276"/>
      <c r="U95" s="278" t="s">
        <v>266</v>
      </c>
      <c r="V95" s="115"/>
      <c r="W95" s="114"/>
      <c r="X95" s="115"/>
      <c r="Y95" s="221"/>
      <c r="Z95" s="115"/>
      <c r="AA95" s="221"/>
      <c r="AB95" s="22"/>
      <c r="AC95" s="170"/>
      <c r="AD95" s="208"/>
      <c r="AE95" s="170"/>
      <c r="AF95" s="208"/>
      <c r="AG95" s="170"/>
      <c r="AH95" s="208"/>
      <c r="AI95" s="170"/>
      <c r="AJ95" s="233">
        <v>766</v>
      </c>
      <c r="AK95" s="170"/>
      <c r="AL95" s="270"/>
      <c r="AM95" s="170"/>
      <c r="AN95" s="270"/>
      <c r="AO95" s="170"/>
      <c r="AP95" s="233"/>
      <c r="AQ95" s="233"/>
      <c r="AR95" s="170"/>
      <c r="AS95" s="170"/>
      <c r="AT95" s="233">
        <f t="shared" si="9"/>
        <v>0</v>
      </c>
      <c r="AU95" s="386"/>
      <c r="AV95" s="233">
        <v>0</v>
      </c>
    </row>
    <row r="96" spans="1:48" s="62" customFormat="1" ht="31.5">
      <c r="A96" s="59"/>
      <c r="B96" s="60"/>
      <c r="C96" s="60"/>
      <c r="D96" s="22"/>
      <c r="E96" s="79"/>
      <c r="F96" s="51" t="s">
        <v>57</v>
      </c>
      <c r="G96" s="275" t="s">
        <v>121</v>
      </c>
      <c r="H96" s="115"/>
      <c r="I96" s="115"/>
      <c r="J96" s="115"/>
      <c r="K96" s="115"/>
      <c r="L96" s="276"/>
      <c r="M96" s="277"/>
      <c r="N96" s="276"/>
      <c r="O96" s="115"/>
      <c r="P96" s="276"/>
      <c r="Q96" s="115"/>
      <c r="R96" s="276"/>
      <c r="S96" s="115"/>
      <c r="T96" s="276"/>
      <c r="U96" s="278" t="s">
        <v>266</v>
      </c>
      <c r="V96" s="115"/>
      <c r="W96" s="114"/>
      <c r="X96" s="115"/>
      <c r="Y96" s="221"/>
      <c r="Z96" s="115"/>
      <c r="AA96" s="221"/>
      <c r="AB96" s="22"/>
      <c r="AC96" s="170"/>
      <c r="AD96" s="208"/>
      <c r="AE96" s="170"/>
      <c r="AF96" s="208"/>
      <c r="AG96" s="170"/>
      <c r="AH96" s="208"/>
      <c r="AI96" s="170"/>
      <c r="AJ96" s="233">
        <v>450</v>
      </c>
      <c r="AK96" s="170"/>
      <c r="AL96" s="270"/>
      <c r="AM96" s="170"/>
      <c r="AN96" s="270"/>
      <c r="AO96" s="170"/>
      <c r="AP96" s="233"/>
      <c r="AQ96" s="233"/>
      <c r="AR96" s="170"/>
      <c r="AS96" s="170"/>
      <c r="AT96" s="233">
        <f t="shared" si="9"/>
        <v>0</v>
      </c>
      <c r="AU96" s="386"/>
      <c r="AV96" s="233">
        <v>0</v>
      </c>
    </row>
    <row r="97" spans="1:48" s="62" customFormat="1" ht="31.5">
      <c r="A97" s="59"/>
      <c r="B97" s="60"/>
      <c r="C97" s="60"/>
      <c r="D97" s="22"/>
      <c r="E97" s="79"/>
      <c r="F97" s="51" t="s">
        <v>57</v>
      </c>
      <c r="G97" s="275" t="s">
        <v>279</v>
      </c>
      <c r="H97" s="115"/>
      <c r="I97" s="115"/>
      <c r="J97" s="115"/>
      <c r="K97" s="115"/>
      <c r="L97" s="276"/>
      <c r="M97" s="277"/>
      <c r="N97" s="276"/>
      <c r="O97" s="115"/>
      <c r="P97" s="276"/>
      <c r="Q97" s="115"/>
      <c r="R97" s="276"/>
      <c r="S97" s="115"/>
      <c r="T97" s="276"/>
      <c r="U97" s="278" t="s">
        <v>266</v>
      </c>
      <c r="V97" s="115"/>
      <c r="W97" s="114"/>
      <c r="X97" s="115"/>
      <c r="Y97" s="221"/>
      <c r="Z97" s="115"/>
      <c r="AA97" s="221"/>
      <c r="AB97" s="22"/>
      <c r="AC97" s="170"/>
      <c r="AD97" s="208"/>
      <c r="AE97" s="170"/>
      <c r="AF97" s="208"/>
      <c r="AG97" s="170"/>
      <c r="AH97" s="208"/>
      <c r="AI97" s="170"/>
      <c r="AJ97" s="233">
        <v>610</v>
      </c>
      <c r="AK97" s="170"/>
      <c r="AL97" s="270"/>
      <c r="AM97" s="170"/>
      <c r="AN97" s="270"/>
      <c r="AO97" s="170"/>
      <c r="AP97" s="233"/>
      <c r="AQ97" s="233"/>
      <c r="AR97" s="170"/>
      <c r="AS97" s="170"/>
      <c r="AT97" s="233">
        <f t="shared" si="9"/>
        <v>0</v>
      </c>
      <c r="AU97" s="386"/>
      <c r="AV97" s="233">
        <v>0</v>
      </c>
    </row>
    <row r="98" spans="1:48" s="62" customFormat="1" ht="31.5">
      <c r="A98" s="59"/>
      <c r="B98" s="60"/>
      <c r="C98" s="60"/>
      <c r="D98" s="22"/>
      <c r="E98" s="79"/>
      <c r="F98" s="51" t="s">
        <v>57</v>
      </c>
      <c r="G98" s="275" t="s">
        <v>279</v>
      </c>
      <c r="H98" s="115"/>
      <c r="I98" s="115"/>
      <c r="J98" s="115"/>
      <c r="K98" s="115"/>
      <c r="L98" s="276"/>
      <c r="M98" s="277"/>
      <c r="N98" s="276"/>
      <c r="O98" s="115"/>
      <c r="P98" s="276"/>
      <c r="Q98" s="115"/>
      <c r="R98" s="276"/>
      <c r="S98" s="115"/>
      <c r="T98" s="276"/>
      <c r="U98" s="278" t="s">
        <v>284</v>
      </c>
      <c r="V98" s="115"/>
      <c r="W98" s="114"/>
      <c r="X98" s="115"/>
      <c r="Y98" s="221"/>
      <c r="Z98" s="115"/>
      <c r="AA98" s="221"/>
      <c r="AB98" s="22"/>
      <c r="AC98" s="170"/>
      <c r="AD98" s="208"/>
      <c r="AE98" s="170"/>
      <c r="AF98" s="208"/>
      <c r="AG98" s="170"/>
      <c r="AH98" s="208"/>
      <c r="AI98" s="170"/>
      <c r="AJ98" s="233">
        <v>723</v>
      </c>
      <c r="AK98" s="170"/>
      <c r="AL98" s="270"/>
      <c r="AM98" s="170"/>
      <c r="AN98" s="270"/>
      <c r="AO98" s="170"/>
      <c r="AP98" s="233"/>
      <c r="AQ98" s="233"/>
      <c r="AR98" s="170"/>
      <c r="AS98" s="170"/>
      <c r="AT98" s="233">
        <f t="shared" si="9"/>
        <v>0</v>
      </c>
      <c r="AU98" s="386"/>
      <c r="AV98" s="233">
        <v>0</v>
      </c>
    </row>
    <row r="99" spans="1:48" s="62" customFormat="1" ht="31.5">
      <c r="A99" s="59"/>
      <c r="B99" s="60"/>
      <c r="C99" s="60"/>
      <c r="D99" s="22"/>
      <c r="E99" s="79"/>
      <c r="F99" s="51" t="s">
        <v>57</v>
      </c>
      <c r="G99" s="275" t="s">
        <v>279</v>
      </c>
      <c r="H99" s="115"/>
      <c r="I99" s="115"/>
      <c r="J99" s="115"/>
      <c r="K99" s="115"/>
      <c r="L99" s="276"/>
      <c r="M99" s="277"/>
      <c r="N99" s="276"/>
      <c r="O99" s="115"/>
      <c r="P99" s="276"/>
      <c r="Q99" s="115"/>
      <c r="R99" s="276"/>
      <c r="S99" s="115"/>
      <c r="T99" s="276"/>
      <c r="U99" s="278" t="s">
        <v>311</v>
      </c>
      <c r="V99" s="115"/>
      <c r="W99" s="114"/>
      <c r="X99" s="115"/>
      <c r="Y99" s="221"/>
      <c r="Z99" s="115"/>
      <c r="AA99" s="221"/>
      <c r="AB99" s="22"/>
      <c r="AC99" s="170"/>
      <c r="AD99" s="208"/>
      <c r="AE99" s="170"/>
      <c r="AF99" s="208"/>
      <c r="AG99" s="170"/>
      <c r="AH99" s="208"/>
      <c r="AI99" s="170"/>
      <c r="AJ99" s="233">
        <v>724</v>
      </c>
      <c r="AK99" s="170"/>
      <c r="AL99" s="270"/>
      <c r="AM99" s="170"/>
      <c r="AN99" s="270"/>
      <c r="AO99" s="170"/>
      <c r="AP99" s="233"/>
      <c r="AQ99" s="233"/>
      <c r="AR99" s="170"/>
      <c r="AS99" s="170"/>
      <c r="AT99" s="233">
        <f t="shared" si="9"/>
        <v>0</v>
      </c>
      <c r="AU99" s="386"/>
      <c r="AV99" s="233">
        <v>0</v>
      </c>
    </row>
    <row r="100" spans="1:48" s="62" customFormat="1" ht="31.5">
      <c r="A100" s="59"/>
      <c r="B100" s="60"/>
      <c r="C100" s="60"/>
      <c r="D100" s="22"/>
      <c r="E100" s="79"/>
      <c r="F100" s="150" t="s">
        <v>57</v>
      </c>
      <c r="G100" s="222" t="s">
        <v>279</v>
      </c>
      <c r="H100" s="193"/>
      <c r="I100" s="193"/>
      <c r="J100" s="193"/>
      <c r="K100" s="193"/>
      <c r="L100" s="243"/>
      <c r="M100" s="242"/>
      <c r="N100" s="243"/>
      <c r="O100" s="193"/>
      <c r="P100" s="243"/>
      <c r="Q100" s="193"/>
      <c r="R100" s="243"/>
      <c r="S100" s="193"/>
      <c r="T100" s="243"/>
      <c r="U100" s="203" t="s">
        <v>311</v>
      </c>
      <c r="V100" s="115"/>
      <c r="W100" s="114"/>
      <c r="X100" s="193"/>
      <c r="Y100" s="200"/>
      <c r="Z100" s="193"/>
      <c r="AA100" s="200"/>
      <c r="AB100" s="22"/>
      <c r="AC100" s="170"/>
      <c r="AD100" s="209"/>
      <c r="AE100" s="194"/>
      <c r="AF100" s="209"/>
      <c r="AG100" s="194"/>
      <c r="AH100" s="209"/>
      <c r="AI100" s="194"/>
      <c r="AJ100" s="232">
        <v>726</v>
      </c>
      <c r="AK100" s="170"/>
      <c r="AL100" s="272"/>
      <c r="AM100" s="212"/>
      <c r="AN100" s="269"/>
      <c r="AO100" s="217"/>
      <c r="AP100" s="232"/>
      <c r="AQ100" s="229"/>
      <c r="AR100" s="212"/>
      <c r="AS100" s="212"/>
      <c r="AT100" s="247">
        <f t="shared" si="9"/>
        <v>499</v>
      </c>
      <c r="AU100" s="228"/>
      <c r="AV100" s="279">
        <v>499</v>
      </c>
    </row>
    <row r="101" spans="1:48" s="62" customFormat="1" ht="31.5">
      <c r="A101" s="59"/>
      <c r="B101" s="60"/>
      <c r="C101" s="427"/>
      <c r="D101" s="428"/>
      <c r="E101" s="79"/>
      <c r="F101" s="150" t="s">
        <v>57</v>
      </c>
      <c r="G101" s="222" t="s">
        <v>279</v>
      </c>
      <c r="H101" s="193"/>
      <c r="I101" s="193"/>
      <c r="J101" s="193"/>
      <c r="K101" s="193"/>
      <c r="L101" s="243"/>
      <c r="M101" s="242"/>
      <c r="N101" s="243"/>
      <c r="O101" s="193"/>
      <c r="P101" s="243"/>
      <c r="Q101" s="193"/>
      <c r="R101" s="243"/>
      <c r="S101" s="193"/>
      <c r="T101" s="243"/>
      <c r="U101" s="203" t="s">
        <v>311</v>
      </c>
      <c r="V101" s="115"/>
      <c r="W101" s="114"/>
      <c r="X101" s="193"/>
      <c r="Y101" s="200"/>
      <c r="Z101" s="193"/>
      <c r="AA101" s="200"/>
      <c r="AB101" s="22"/>
      <c r="AC101" s="170"/>
      <c r="AD101" s="209"/>
      <c r="AE101" s="194"/>
      <c r="AF101" s="209"/>
      <c r="AG101" s="194"/>
      <c r="AH101" s="209"/>
      <c r="AI101" s="194"/>
      <c r="AJ101" s="232">
        <v>544</v>
      </c>
      <c r="AK101" s="170"/>
      <c r="AL101" s="272"/>
      <c r="AM101" s="212"/>
      <c r="AN101" s="269"/>
      <c r="AO101" s="217"/>
      <c r="AP101" s="232"/>
      <c r="AQ101" s="229"/>
      <c r="AR101" s="212"/>
      <c r="AS101" s="212"/>
      <c r="AT101" s="247">
        <f t="shared" si="9"/>
        <v>544</v>
      </c>
      <c r="AU101" s="228"/>
      <c r="AV101" s="279">
        <v>544</v>
      </c>
    </row>
    <row r="102" spans="1:48" s="62" customFormat="1" ht="31.5">
      <c r="A102" s="59"/>
      <c r="B102" s="60"/>
      <c r="C102" s="427"/>
      <c r="D102" s="428"/>
      <c r="E102" s="79"/>
      <c r="F102" s="150" t="s">
        <v>57</v>
      </c>
      <c r="G102" s="222" t="s">
        <v>279</v>
      </c>
      <c r="H102" s="193"/>
      <c r="I102" s="193"/>
      <c r="J102" s="193"/>
      <c r="K102" s="193"/>
      <c r="L102" s="243"/>
      <c r="M102" s="242"/>
      <c r="N102" s="243"/>
      <c r="O102" s="193"/>
      <c r="P102" s="243"/>
      <c r="Q102" s="193"/>
      <c r="R102" s="243"/>
      <c r="S102" s="193"/>
      <c r="T102" s="243"/>
      <c r="U102" s="203" t="s">
        <v>311</v>
      </c>
      <c r="V102" s="115"/>
      <c r="W102" s="114"/>
      <c r="X102" s="193"/>
      <c r="Y102" s="200"/>
      <c r="Z102" s="193"/>
      <c r="AA102" s="200"/>
      <c r="AB102" s="22"/>
      <c r="AC102" s="170"/>
      <c r="AD102" s="209"/>
      <c r="AE102" s="194"/>
      <c r="AF102" s="209"/>
      <c r="AG102" s="194"/>
      <c r="AH102" s="209"/>
      <c r="AI102" s="194"/>
      <c r="AJ102" s="232">
        <v>30</v>
      </c>
      <c r="AK102" s="170"/>
      <c r="AL102" s="272"/>
      <c r="AM102" s="212"/>
      <c r="AN102" s="269"/>
      <c r="AO102" s="217"/>
      <c r="AP102" s="232"/>
      <c r="AQ102" s="229"/>
      <c r="AR102" s="212"/>
      <c r="AS102" s="212"/>
      <c r="AT102" s="247">
        <f t="shared" si="9"/>
        <v>30</v>
      </c>
      <c r="AU102" s="228"/>
      <c r="AV102" s="279">
        <v>30</v>
      </c>
    </row>
    <row r="103" spans="1:48" s="62" customFormat="1" ht="26.25" customHeight="1">
      <c r="A103" s="59"/>
      <c r="B103" s="60"/>
      <c r="C103" s="60"/>
      <c r="D103" s="22"/>
      <c r="E103" s="79" t="s">
        <v>24</v>
      </c>
      <c r="F103" s="161" t="s">
        <v>61</v>
      </c>
      <c r="G103" s="222" t="s">
        <v>127</v>
      </c>
      <c r="H103" s="193" t="s">
        <v>91</v>
      </c>
      <c r="I103" s="193" t="s">
        <v>91</v>
      </c>
      <c r="J103" s="193">
        <v>48</v>
      </c>
      <c r="K103" s="193">
        <v>3</v>
      </c>
      <c r="L103" s="243">
        <v>71.97</v>
      </c>
      <c r="M103" s="242">
        <f t="shared" ref="M103:M104" si="10">J103*K103</f>
        <v>144</v>
      </c>
      <c r="N103" s="243">
        <f t="shared" ref="N103:N104" si="11">L103*M103</f>
        <v>10363.68</v>
      </c>
      <c r="O103" s="193">
        <v>14</v>
      </c>
      <c r="P103" s="243">
        <v>714.98</v>
      </c>
      <c r="Q103" s="193"/>
      <c r="R103" s="243"/>
      <c r="S103" s="193"/>
      <c r="T103" s="243"/>
      <c r="U103" s="203" t="s">
        <v>128</v>
      </c>
      <c r="V103" s="115">
        <v>135</v>
      </c>
      <c r="W103" s="114">
        <v>42761</v>
      </c>
      <c r="X103" s="193" t="s">
        <v>126</v>
      </c>
      <c r="Y103" s="200">
        <v>43130</v>
      </c>
      <c r="Z103" s="193"/>
      <c r="AA103" s="193"/>
      <c r="AB103" s="22">
        <v>0</v>
      </c>
      <c r="AC103" s="170">
        <v>0</v>
      </c>
      <c r="AD103" s="209">
        <v>14</v>
      </c>
      <c r="AE103" s="194">
        <v>774.48</v>
      </c>
      <c r="AF103" s="209"/>
      <c r="AG103" s="194"/>
      <c r="AH103" s="209"/>
      <c r="AI103" s="194"/>
      <c r="AJ103" s="232"/>
      <c r="AK103" s="170">
        <f t="shared" si="5"/>
        <v>774.48</v>
      </c>
      <c r="AL103" s="272">
        <v>0</v>
      </c>
      <c r="AM103" s="212">
        <v>0</v>
      </c>
      <c r="AN103" s="269">
        <v>14</v>
      </c>
      <c r="AO103" s="217">
        <f t="shared" ref="AO103:AO104" si="12">AC103+AK103-AM103</f>
        <v>774.48</v>
      </c>
      <c r="AP103" s="232"/>
      <c r="AQ103" s="229"/>
      <c r="AR103" s="212">
        <v>55.32</v>
      </c>
      <c r="AS103" s="212">
        <f t="shared" si="3"/>
        <v>0</v>
      </c>
      <c r="AT103" s="247">
        <f t="shared" si="9"/>
        <v>8</v>
      </c>
      <c r="AU103" s="228">
        <f t="shared" si="4"/>
        <v>442.56</v>
      </c>
      <c r="AV103" s="279">
        <v>8</v>
      </c>
    </row>
    <row r="104" spans="1:48" s="62" customFormat="1" ht="26.25" customHeight="1">
      <c r="A104" s="59"/>
      <c r="B104" s="60"/>
      <c r="C104" s="60"/>
      <c r="D104" s="22"/>
      <c r="E104" s="79" t="s">
        <v>24</v>
      </c>
      <c r="F104" s="161" t="s">
        <v>61</v>
      </c>
      <c r="G104" s="222" t="s">
        <v>127</v>
      </c>
      <c r="H104" s="193" t="s">
        <v>91</v>
      </c>
      <c r="I104" s="193" t="s">
        <v>91</v>
      </c>
      <c r="J104" s="193"/>
      <c r="K104" s="193"/>
      <c r="L104" s="243"/>
      <c r="M104" s="242">
        <f t="shared" si="10"/>
        <v>0</v>
      </c>
      <c r="N104" s="243">
        <f t="shared" si="11"/>
        <v>0</v>
      </c>
      <c r="O104" s="193"/>
      <c r="P104" s="243"/>
      <c r="Q104" s="193"/>
      <c r="R104" s="243"/>
      <c r="S104" s="193"/>
      <c r="T104" s="243"/>
      <c r="U104" s="203" t="s">
        <v>171</v>
      </c>
      <c r="V104" s="115">
        <v>834</v>
      </c>
      <c r="W104" s="114">
        <v>43222</v>
      </c>
      <c r="X104" s="193" t="s">
        <v>162</v>
      </c>
      <c r="Y104" s="200">
        <v>43242</v>
      </c>
      <c r="Z104" s="193"/>
      <c r="AA104" s="193"/>
      <c r="AB104" s="22">
        <v>0</v>
      </c>
      <c r="AC104" s="170">
        <v>0</v>
      </c>
      <c r="AD104" s="209">
        <v>26</v>
      </c>
      <c r="AE104" s="194">
        <v>1438.32</v>
      </c>
      <c r="AF104" s="209"/>
      <c r="AG104" s="194"/>
      <c r="AH104" s="209"/>
      <c r="AI104" s="194"/>
      <c r="AJ104" s="232"/>
      <c r="AK104" s="170">
        <f t="shared" si="5"/>
        <v>1438.32</v>
      </c>
      <c r="AL104" s="272">
        <v>0</v>
      </c>
      <c r="AM104" s="212">
        <v>0</v>
      </c>
      <c r="AN104" s="269">
        <v>26</v>
      </c>
      <c r="AO104" s="217">
        <f t="shared" si="12"/>
        <v>1438.32</v>
      </c>
      <c r="AP104" s="232"/>
      <c r="AQ104" s="229"/>
      <c r="AR104" s="212">
        <v>55.32</v>
      </c>
      <c r="AS104" s="212">
        <f t="shared" si="3"/>
        <v>0</v>
      </c>
      <c r="AT104" s="247">
        <f t="shared" si="9"/>
        <v>26</v>
      </c>
      <c r="AU104" s="228">
        <f t="shared" si="4"/>
        <v>1438.32</v>
      </c>
      <c r="AV104" s="279">
        <v>26</v>
      </c>
    </row>
    <row r="105" spans="1:48" s="62" customFormat="1" ht="38.25">
      <c r="A105" s="59"/>
      <c r="B105" s="60"/>
      <c r="C105" s="60"/>
      <c r="D105" s="22"/>
      <c r="E105" s="79"/>
      <c r="F105" s="632" t="s">
        <v>339</v>
      </c>
      <c r="G105" s="222" t="s">
        <v>340</v>
      </c>
      <c r="H105" s="193"/>
      <c r="I105" s="193"/>
      <c r="J105" s="193"/>
      <c r="K105" s="193"/>
      <c r="L105" s="243"/>
      <c r="M105" s="242"/>
      <c r="N105" s="243"/>
      <c r="O105" s="193"/>
      <c r="P105" s="243"/>
      <c r="Q105" s="193"/>
      <c r="R105" s="243"/>
      <c r="S105" s="193"/>
      <c r="T105" s="243"/>
      <c r="U105" s="607" t="s">
        <v>341</v>
      </c>
      <c r="V105" s="608"/>
      <c r="W105" s="609"/>
      <c r="X105" s="610"/>
      <c r="Y105" s="611"/>
      <c r="Z105" s="610"/>
      <c r="AA105" s="610"/>
      <c r="AB105" s="22"/>
      <c r="AC105" s="170"/>
      <c r="AD105" s="209"/>
      <c r="AE105" s="194"/>
      <c r="AF105" s="209"/>
      <c r="AG105" s="194"/>
      <c r="AH105" s="209"/>
      <c r="AI105" s="194"/>
      <c r="AJ105" s="232">
        <v>37</v>
      </c>
      <c r="AK105" s="170"/>
      <c r="AL105" s="272"/>
      <c r="AM105" s="212"/>
      <c r="AN105" s="269"/>
      <c r="AO105" s="217"/>
      <c r="AP105" s="232"/>
      <c r="AQ105" s="229"/>
      <c r="AR105" s="212"/>
      <c r="AS105" s="212"/>
      <c r="AT105" s="247">
        <f t="shared" si="9"/>
        <v>37</v>
      </c>
      <c r="AU105" s="228"/>
      <c r="AV105" s="279">
        <v>37</v>
      </c>
    </row>
    <row r="106" spans="1:48" s="62" customFormat="1" ht="38.25">
      <c r="A106" s="59"/>
      <c r="B106" s="60"/>
      <c r="C106" s="60"/>
      <c r="D106" s="22"/>
      <c r="E106" s="79"/>
      <c r="F106" s="632" t="s">
        <v>339</v>
      </c>
      <c r="G106" s="222" t="s">
        <v>340</v>
      </c>
      <c r="H106" s="193"/>
      <c r="I106" s="193"/>
      <c r="J106" s="193"/>
      <c r="K106" s="193"/>
      <c r="L106" s="243"/>
      <c r="M106" s="242"/>
      <c r="N106" s="243"/>
      <c r="O106" s="193"/>
      <c r="P106" s="243"/>
      <c r="Q106" s="193"/>
      <c r="R106" s="243"/>
      <c r="S106" s="193"/>
      <c r="T106" s="243"/>
      <c r="U106" s="607" t="s">
        <v>345</v>
      </c>
      <c r="V106" s="608"/>
      <c r="W106" s="609"/>
      <c r="X106" s="610"/>
      <c r="Y106" s="611"/>
      <c r="Z106" s="610"/>
      <c r="AA106" s="610"/>
      <c r="AB106" s="22"/>
      <c r="AC106" s="170"/>
      <c r="AD106" s="209"/>
      <c r="AE106" s="194"/>
      <c r="AF106" s="209"/>
      <c r="AG106" s="194"/>
      <c r="AH106" s="209"/>
      <c r="AI106" s="194"/>
      <c r="AJ106" s="232">
        <v>36</v>
      </c>
      <c r="AK106" s="170"/>
      <c r="AL106" s="272"/>
      <c r="AM106" s="212"/>
      <c r="AN106" s="269"/>
      <c r="AO106" s="217"/>
      <c r="AP106" s="232"/>
      <c r="AQ106" s="229"/>
      <c r="AR106" s="212"/>
      <c r="AS106" s="212"/>
      <c r="AT106" s="247">
        <f t="shared" si="9"/>
        <v>36</v>
      </c>
      <c r="AU106" s="228"/>
      <c r="AV106" s="279">
        <v>36</v>
      </c>
    </row>
    <row r="107" spans="1:48" s="251" customFormat="1" ht="21" customHeight="1">
      <c r="A107" s="20" t="s">
        <v>11</v>
      </c>
      <c r="B107" s="20"/>
      <c r="C107" s="20"/>
      <c r="D107" s="695" t="s">
        <v>34</v>
      </c>
      <c r="E107" s="696"/>
      <c r="F107" s="697"/>
      <c r="G107" s="246"/>
      <c r="H107" s="246"/>
      <c r="I107" s="246"/>
      <c r="J107" s="246"/>
      <c r="K107" s="247">
        <f>SUM(K17:K104)</f>
        <v>24</v>
      </c>
      <c r="L107" s="248"/>
      <c r="M107" s="246"/>
      <c r="N107" s="249">
        <f>SUM(N17:N104)</f>
        <v>2156307.44</v>
      </c>
      <c r="O107" s="248"/>
      <c r="P107" s="249">
        <f>SUM(P17:P104)</f>
        <v>1298976.4000000001</v>
      </c>
      <c r="Q107" s="248"/>
      <c r="R107" s="249">
        <f>SUM(R17:R104)</f>
        <v>928054.79999999993</v>
      </c>
      <c r="S107" s="248"/>
      <c r="T107" s="249">
        <f>SUM(T17:T104)</f>
        <v>466648.98</v>
      </c>
      <c r="U107" s="291" t="s">
        <v>156</v>
      </c>
      <c r="V107" s="291" t="s">
        <v>156</v>
      </c>
      <c r="W107" s="291" t="s">
        <v>156</v>
      </c>
      <c r="X107" s="250" t="s">
        <v>156</v>
      </c>
      <c r="Y107" s="250" t="s">
        <v>156</v>
      </c>
      <c r="Z107" s="250" t="s">
        <v>156</v>
      </c>
      <c r="AA107" s="250" t="s">
        <v>156</v>
      </c>
      <c r="AB107" s="176">
        <f>SUM(AB17:AB48)</f>
        <v>140</v>
      </c>
      <c r="AC107" s="171">
        <f>SUM(AC17:AC76)</f>
        <v>77947.959999999992</v>
      </c>
      <c r="AD107" s="210">
        <f t="shared" ref="AD107:AQ107" si="13">SUM(AD17:AD104)</f>
        <v>4404</v>
      </c>
      <c r="AE107" s="195">
        <f t="shared" si="13"/>
        <v>925803.50999999989</v>
      </c>
      <c r="AF107" s="210">
        <f t="shared" si="13"/>
        <v>0</v>
      </c>
      <c r="AG107" s="195">
        <f t="shared" si="13"/>
        <v>0</v>
      </c>
      <c r="AH107" s="210">
        <f t="shared" si="13"/>
        <v>0</v>
      </c>
      <c r="AI107" s="195">
        <f t="shared" si="13"/>
        <v>0</v>
      </c>
      <c r="AJ107" s="210">
        <f>SUM(AJ17:AJ106)</f>
        <v>9506</v>
      </c>
      <c r="AK107" s="175">
        <f t="shared" si="13"/>
        <v>925803.50999999989</v>
      </c>
      <c r="AL107" s="213">
        <f t="shared" si="13"/>
        <v>742</v>
      </c>
      <c r="AM107" s="214">
        <f t="shared" si="13"/>
        <v>175808.55000000005</v>
      </c>
      <c r="AN107" s="218">
        <f t="shared" si="13"/>
        <v>3802</v>
      </c>
      <c r="AO107" s="219">
        <f t="shared" si="13"/>
        <v>811349.99000000011</v>
      </c>
      <c r="AP107" s="286">
        <f t="shared" si="13"/>
        <v>0</v>
      </c>
      <c r="AQ107" s="287">
        <f t="shared" si="13"/>
        <v>0</v>
      </c>
      <c r="AR107" s="226" t="s">
        <v>156</v>
      </c>
      <c r="AS107" s="226">
        <f>SUM(AS17:AS104)</f>
        <v>0</v>
      </c>
      <c r="AT107" s="227">
        <f>SUM(AT17:AT106)</f>
        <v>6124</v>
      </c>
      <c r="AU107" s="228">
        <f>SUM(AU17:AU104)</f>
        <v>291057.28000000003</v>
      </c>
      <c r="AV107" s="510">
        <f>SUM(AV17:AV106)</f>
        <v>6124</v>
      </c>
    </row>
    <row r="108" spans="1:48" s="336" customFormat="1" ht="21" customHeight="1">
      <c r="A108" s="20"/>
      <c r="B108" s="20"/>
      <c r="C108" s="20"/>
      <c r="D108" s="294"/>
      <c r="E108" s="294"/>
      <c r="F108" s="294"/>
      <c r="G108" s="330"/>
      <c r="H108" s="330"/>
      <c r="I108" s="330"/>
      <c r="J108" s="330"/>
      <c r="K108" s="331"/>
      <c r="L108" s="332"/>
      <c r="M108" s="330"/>
      <c r="N108" s="333"/>
      <c r="O108" s="332"/>
      <c r="P108" s="333"/>
      <c r="Q108" s="332"/>
      <c r="R108" s="333"/>
      <c r="S108" s="332"/>
      <c r="T108" s="333"/>
      <c r="U108" s="295"/>
      <c r="V108" s="295"/>
      <c r="W108" s="295"/>
      <c r="X108" s="295"/>
      <c r="Y108" s="295"/>
      <c r="Z108" s="295"/>
      <c r="AA108" s="295"/>
      <c r="AB108" s="296"/>
      <c r="AC108" s="297"/>
      <c r="AD108" s="296"/>
      <c r="AE108" s="297"/>
      <c r="AF108" s="296"/>
      <c r="AG108" s="297"/>
      <c r="AH108" s="296"/>
      <c r="AI108" s="297"/>
      <c r="AJ108" s="478"/>
      <c r="AK108" s="299"/>
      <c r="AL108" s="334"/>
      <c r="AM108" s="297"/>
      <c r="AN108" s="296"/>
      <c r="AO108" s="297"/>
      <c r="AP108" s="298"/>
      <c r="AQ108" s="335"/>
      <c r="AR108" s="333"/>
      <c r="AS108" s="333"/>
      <c r="AT108" s="331"/>
      <c r="AU108" s="333"/>
      <c r="AV108" s="331"/>
    </row>
    <row r="109" spans="1:48" s="336" customFormat="1" ht="21" hidden="1" customHeight="1">
      <c r="A109" s="20"/>
      <c r="B109" s="20"/>
      <c r="C109" s="20"/>
      <c r="D109" s="294"/>
      <c r="E109" s="294"/>
      <c r="F109" s="294"/>
      <c r="G109" s="330"/>
      <c r="H109" s="330"/>
      <c r="I109" s="330"/>
      <c r="J109" s="330"/>
      <c r="K109" s="331"/>
      <c r="L109" s="332"/>
      <c r="M109" s="330"/>
      <c r="N109" s="333"/>
      <c r="O109" s="332"/>
      <c r="P109" s="333"/>
      <c r="Q109" s="332"/>
      <c r="R109" s="333"/>
      <c r="S109" s="332"/>
      <c r="T109" s="333"/>
      <c r="U109" s="295"/>
      <c r="V109" s="295"/>
      <c r="W109" s="295"/>
      <c r="X109" s="295"/>
      <c r="Y109" s="295"/>
      <c r="Z109" s="295"/>
      <c r="AA109" s="295"/>
      <c r="AB109" s="296"/>
      <c r="AC109" s="297"/>
      <c r="AD109" s="296"/>
      <c r="AE109" s="297"/>
      <c r="AF109" s="296"/>
      <c r="AG109" s="297"/>
      <c r="AH109" s="296"/>
      <c r="AI109" s="297"/>
      <c r="AJ109" s="478"/>
      <c r="AK109" s="299"/>
      <c r="AL109" s="334"/>
      <c r="AM109" s="297"/>
      <c r="AN109" s="296"/>
      <c r="AO109" s="297"/>
      <c r="AP109" s="298"/>
      <c r="AQ109" s="335"/>
      <c r="AR109" s="333"/>
      <c r="AS109" s="333"/>
      <c r="AT109" s="331"/>
      <c r="AU109" s="333"/>
      <c r="AV109" s="331"/>
    </row>
    <row r="110" spans="1:48" s="292" customFormat="1" ht="20.25" hidden="1">
      <c r="A110" s="301"/>
      <c r="B110" s="301"/>
      <c r="C110" s="301"/>
      <c r="D110" s="302"/>
      <c r="E110" s="301"/>
      <c r="F110" s="303" t="s">
        <v>205</v>
      </c>
      <c r="G110" s="303"/>
      <c r="H110" s="303" t="s">
        <v>208</v>
      </c>
      <c r="I110" s="303"/>
      <c r="J110" s="304"/>
      <c r="K110" s="304"/>
      <c r="L110" s="304"/>
      <c r="M110" s="304"/>
      <c r="N110" s="304"/>
      <c r="O110" s="304"/>
      <c r="P110" s="304"/>
      <c r="Q110" s="304"/>
      <c r="R110" s="304"/>
      <c r="S110" s="304"/>
      <c r="T110" s="304"/>
      <c r="U110" s="303"/>
      <c r="V110" s="303"/>
      <c r="X110" s="303"/>
      <c r="Y110" s="303"/>
      <c r="Z110" s="303"/>
      <c r="AA110" s="303" t="s">
        <v>208</v>
      </c>
      <c r="AB110" s="303"/>
      <c r="AC110" s="303"/>
      <c r="AD110" s="303"/>
      <c r="AE110" s="303"/>
      <c r="AF110" s="303"/>
      <c r="AG110" s="303"/>
      <c r="AH110" s="303"/>
      <c r="AI110" s="303"/>
      <c r="AJ110" s="479"/>
      <c r="AK110" s="303"/>
      <c r="AL110" s="301"/>
      <c r="AM110" s="303"/>
      <c r="AN110" s="305"/>
      <c r="AO110" s="306"/>
      <c r="AP110" s="307"/>
      <c r="AQ110" s="302"/>
      <c r="AR110" s="308"/>
      <c r="AS110" s="308"/>
      <c r="AT110" s="302"/>
      <c r="AU110" s="302"/>
      <c r="AV110" s="302"/>
    </row>
    <row r="111" spans="1:48" s="292" customFormat="1" ht="20.25" hidden="1">
      <c r="A111" s="301"/>
      <c r="B111" s="301"/>
      <c r="C111" s="301"/>
      <c r="D111" s="302"/>
      <c r="E111" s="301"/>
      <c r="F111" s="303"/>
      <c r="G111" s="303"/>
      <c r="H111" s="303"/>
      <c r="I111" s="303"/>
      <c r="J111" s="304"/>
      <c r="K111" s="304"/>
      <c r="L111" s="304"/>
      <c r="M111" s="304"/>
      <c r="N111" s="304"/>
      <c r="O111" s="304"/>
      <c r="P111" s="304"/>
      <c r="Q111" s="304"/>
      <c r="R111" s="304"/>
      <c r="S111" s="304"/>
      <c r="T111" s="304"/>
      <c r="U111" s="303"/>
      <c r="V111" s="303"/>
      <c r="X111" s="303"/>
      <c r="Y111" s="303"/>
      <c r="Z111" s="303"/>
      <c r="AA111" s="303"/>
      <c r="AB111" s="303"/>
      <c r="AC111" s="303"/>
      <c r="AD111" s="303"/>
      <c r="AE111" s="303"/>
      <c r="AF111" s="303"/>
      <c r="AG111" s="303"/>
      <c r="AH111" s="303"/>
      <c r="AI111" s="303"/>
      <c r="AJ111" s="479"/>
      <c r="AK111" s="303"/>
      <c r="AL111" s="301"/>
      <c r="AM111" s="303"/>
      <c r="AN111" s="305"/>
      <c r="AO111" s="306"/>
      <c r="AP111" s="307"/>
      <c r="AQ111" s="302"/>
      <c r="AR111" s="308"/>
      <c r="AS111" s="308"/>
      <c r="AT111" s="302"/>
      <c r="AU111" s="302"/>
      <c r="AV111" s="302"/>
    </row>
    <row r="112" spans="1:48" s="292" customFormat="1" ht="20.25" hidden="1">
      <c r="A112" s="301"/>
      <c r="B112" s="301"/>
      <c r="C112" s="301"/>
      <c r="D112" s="302"/>
      <c r="E112" s="301"/>
      <c r="F112" s="303"/>
      <c r="G112" s="303"/>
      <c r="H112" s="303"/>
      <c r="I112" s="303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3"/>
      <c r="V112" s="303"/>
      <c r="X112" s="303"/>
      <c r="Y112" s="303"/>
      <c r="Z112" s="303"/>
      <c r="AA112" s="303"/>
      <c r="AB112" s="303"/>
      <c r="AC112" s="303"/>
      <c r="AD112" s="303"/>
      <c r="AE112" s="303"/>
      <c r="AF112" s="303"/>
      <c r="AG112" s="303"/>
      <c r="AH112" s="303"/>
      <c r="AI112" s="303"/>
      <c r="AJ112" s="479"/>
      <c r="AK112" s="303"/>
      <c r="AL112" s="301"/>
      <c r="AM112" s="303"/>
      <c r="AN112" s="305"/>
      <c r="AO112" s="306"/>
      <c r="AP112" s="307"/>
      <c r="AQ112" s="302"/>
      <c r="AR112" s="308"/>
      <c r="AS112" s="308"/>
      <c r="AT112" s="302"/>
      <c r="AU112" s="302"/>
      <c r="AV112" s="302"/>
    </row>
    <row r="113" spans="1:48" s="292" customFormat="1" ht="15" hidden="1" customHeight="1">
      <c r="A113" s="309"/>
      <c r="B113" s="309"/>
      <c r="C113" s="309"/>
      <c r="D113" s="302"/>
      <c r="E113" s="309"/>
      <c r="F113" s="310"/>
      <c r="G113" s="310"/>
      <c r="H113" s="308"/>
      <c r="I113" s="308"/>
      <c r="J113" s="304"/>
      <c r="K113" s="304"/>
      <c r="L113" s="304"/>
      <c r="M113" s="304"/>
      <c r="N113" s="304"/>
      <c r="O113" s="304"/>
      <c r="P113" s="304"/>
      <c r="Q113" s="304"/>
      <c r="R113" s="304"/>
      <c r="S113" s="304"/>
      <c r="T113" s="304"/>
      <c r="U113" s="308"/>
      <c r="V113" s="311"/>
      <c r="AA113" s="311"/>
      <c r="AJ113" s="480"/>
      <c r="AK113" s="312"/>
      <c r="AL113" s="309"/>
      <c r="AM113" s="313"/>
      <c r="AN113" s="305"/>
      <c r="AO113" s="306"/>
      <c r="AP113" s="307"/>
      <c r="AQ113" s="302"/>
      <c r="AR113" s="308"/>
      <c r="AS113" s="308"/>
      <c r="AT113" s="302"/>
      <c r="AU113" s="302"/>
      <c r="AV113" s="302"/>
    </row>
    <row r="114" spans="1:48" s="292" customFormat="1" ht="18" hidden="1" customHeight="1">
      <c r="A114" s="314" t="s">
        <v>12</v>
      </c>
      <c r="B114" s="314"/>
      <c r="C114" s="314"/>
      <c r="D114" s="315"/>
      <c r="E114" s="314"/>
      <c r="F114" s="316" t="s">
        <v>206</v>
      </c>
      <c r="G114" s="316"/>
      <c r="H114" s="736" t="s">
        <v>209</v>
      </c>
      <c r="I114" s="736"/>
      <c r="J114" s="736"/>
      <c r="K114" s="317"/>
      <c r="L114" s="317"/>
      <c r="M114" s="317"/>
      <c r="N114" s="317"/>
      <c r="O114" s="317"/>
      <c r="P114" s="317"/>
      <c r="Q114" s="317"/>
      <c r="R114" s="317"/>
      <c r="S114" s="317"/>
      <c r="T114" s="317"/>
      <c r="U114" s="318"/>
      <c r="V114" s="319"/>
      <c r="X114" s="303"/>
      <c r="Y114" s="316"/>
      <c r="Z114" s="316"/>
      <c r="AA114" s="320" t="s">
        <v>209</v>
      </c>
      <c r="AB114" s="316"/>
      <c r="AC114" s="316"/>
      <c r="AD114" s="316"/>
      <c r="AE114" s="316"/>
      <c r="AF114" s="316"/>
      <c r="AG114" s="316"/>
      <c r="AH114" s="316"/>
      <c r="AI114" s="316"/>
      <c r="AJ114" s="481"/>
      <c r="AK114" s="316"/>
      <c r="AL114" s="314"/>
      <c r="AM114" s="316"/>
      <c r="AN114" s="314"/>
      <c r="AO114" s="321"/>
      <c r="AP114" s="307"/>
      <c r="AQ114" s="302"/>
      <c r="AR114" s="308"/>
      <c r="AS114" s="308"/>
      <c r="AT114" s="302"/>
      <c r="AU114" s="302"/>
      <c r="AV114" s="302"/>
    </row>
    <row r="115" spans="1:48" s="62" customFormat="1" ht="18.75" hidden="1">
      <c r="A115" s="11"/>
      <c r="B115" s="11"/>
      <c r="C115" s="11"/>
      <c r="D115" s="255"/>
      <c r="E115" s="11"/>
      <c r="F115" s="322"/>
      <c r="G115" s="322"/>
      <c r="H115" s="322"/>
      <c r="I115" s="322"/>
      <c r="J115" s="323"/>
      <c r="K115" s="323"/>
      <c r="L115" s="323"/>
      <c r="M115" s="323"/>
      <c r="N115" s="323"/>
      <c r="O115" s="323"/>
      <c r="P115" s="323"/>
      <c r="Q115" s="323"/>
      <c r="R115" s="323"/>
      <c r="S115" s="323"/>
      <c r="T115" s="323"/>
      <c r="U115" s="322"/>
      <c r="V115" s="322"/>
      <c r="W115" s="322"/>
      <c r="X115" s="322"/>
      <c r="Y115" s="322"/>
      <c r="Z115" s="322"/>
      <c r="AA115" s="322"/>
      <c r="AB115" s="322"/>
      <c r="AC115" s="322"/>
      <c r="AD115" s="322"/>
      <c r="AE115" s="322"/>
      <c r="AF115" s="322"/>
      <c r="AG115" s="322"/>
      <c r="AH115" s="322"/>
      <c r="AI115" s="322"/>
      <c r="AJ115" s="482"/>
      <c r="AK115" s="322"/>
      <c r="AL115" s="324"/>
      <c r="AM115" s="322"/>
      <c r="AN115" s="281"/>
      <c r="AO115" s="325"/>
      <c r="AP115" s="326"/>
      <c r="AQ115" s="655"/>
      <c r="AR115" s="255"/>
      <c r="AS115" s="255"/>
      <c r="AT115" s="655"/>
      <c r="AU115" s="655"/>
      <c r="AV115" s="655"/>
    </row>
    <row r="116" spans="1:48" s="103" customFormat="1" ht="57.75" hidden="1" customHeight="1">
      <c r="A116" s="11"/>
      <c r="B116" s="11"/>
      <c r="C116" s="11"/>
      <c r="D116" s="255"/>
      <c r="E116" s="720" t="s">
        <v>207</v>
      </c>
      <c r="F116" s="720"/>
      <c r="G116" s="327"/>
      <c r="H116" s="328"/>
      <c r="I116" s="328"/>
      <c r="J116" s="328"/>
      <c r="K116" s="328"/>
      <c r="L116" s="328"/>
      <c r="M116" s="328"/>
      <c r="N116" s="328"/>
      <c r="O116" s="328"/>
      <c r="P116" s="328"/>
      <c r="Q116" s="328"/>
      <c r="R116" s="328"/>
      <c r="S116" s="328"/>
      <c r="T116" s="328"/>
      <c r="U116" s="328"/>
      <c r="V116" s="329"/>
      <c r="W116" s="329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483"/>
      <c r="AK116" s="11"/>
      <c r="AL116" s="281"/>
      <c r="AM116" s="11"/>
      <c r="AN116" s="281"/>
      <c r="AP116" s="326"/>
      <c r="AQ116" s="655"/>
      <c r="AR116" s="255"/>
      <c r="AS116" s="255"/>
      <c r="AT116" s="655"/>
      <c r="AU116" s="655"/>
      <c r="AV116" s="655"/>
    </row>
  </sheetData>
  <mergeCells count="40">
    <mergeCell ref="U14:U16"/>
    <mergeCell ref="V14:W15"/>
    <mergeCell ref="AQ14:AS15"/>
    <mergeCell ref="AT14:AV14"/>
    <mergeCell ref="O15:P15"/>
    <mergeCell ref="Q15:R15"/>
    <mergeCell ref="S15:T15"/>
    <mergeCell ref="AD15:AE15"/>
    <mergeCell ref="D107:F107"/>
    <mergeCell ref="H114:J114"/>
    <mergeCell ref="E116:F116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AF15:AG15"/>
    <mergeCell ref="AH15:AI15"/>
    <mergeCell ref="D11:AV11"/>
    <mergeCell ref="E6:AT6"/>
    <mergeCell ref="D7:AV7"/>
    <mergeCell ref="D8:AV8"/>
    <mergeCell ref="D9:AV9"/>
    <mergeCell ref="D10:AV10"/>
    <mergeCell ref="X14:Y15"/>
    <mergeCell ref="Z14:AA15"/>
    <mergeCell ref="O14:T14"/>
    <mergeCell ref="AT15:AU15"/>
    <mergeCell ref="AB14:AC15"/>
    <mergeCell ref="AD14:AI14"/>
    <mergeCell ref="AJ14:AK15"/>
    <mergeCell ref="AL14:AM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25"/>
  <sheetViews>
    <sheetView view="pageBreakPreview" topLeftCell="C107" zoomScale="70" zoomScaleSheetLayoutView="70" workbookViewId="0">
      <selection activeCell="G132" sqref="G132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62"/>
      <c r="AR1" s="255"/>
      <c r="AS1" s="255"/>
      <c r="AT1" s="662"/>
      <c r="AU1" s="662"/>
      <c r="AV1" s="662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62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62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362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62"/>
      <c r="AR12" s="255"/>
      <c r="AS12" s="255"/>
      <c r="AT12" s="663"/>
      <c r="AU12" s="663"/>
      <c r="AV12" s="663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363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63"/>
      <c r="D16" s="748"/>
      <c r="E16" s="685"/>
      <c r="F16" s="685"/>
      <c r="G16" s="202"/>
      <c r="H16" s="201"/>
      <c r="I16" s="201"/>
      <c r="J16" s="241"/>
      <c r="K16" s="241"/>
      <c r="L16" s="241"/>
      <c r="M16" s="661" t="s">
        <v>77</v>
      </c>
      <c r="N16" s="661" t="s">
        <v>78</v>
      </c>
      <c r="O16" s="661" t="s">
        <v>77</v>
      </c>
      <c r="P16" s="661" t="s">
        <v>78</v>
      </c>
      <c r="Q16" s="661" t="s">
        <v>77</v>
      </c>
      <c r="R16" s="661" t="s">
        <v>78</v>
      </c>
      <c r="S16" s="661" t="s">
        <v>77</v>
      </c>
      <c r="T16" s="661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60" t="s">
        <v>77</v>
      </c>
      <c r="AE16" s="660" t="s">
        <v>78</v>
      </c>
      <c r="AF16" s="205" t="s">
        <v>77</v>
      </c>
      <c r="AG16" s="205" t="s">
        <v>78</v>
      </c>
      <c r="AH16" s="660" t="s">
        <v>77</v>
      </c>
      <c r="AI16" s="660" t="s">
        <v>78</v>
      </c>
      <c r="AJ16" s="207" t="s">
        <v>96</v>
      </c>
      <c r="AK16" s="96" t="s">
        <v>19</v>
      </c>
      <c r="AL16" s="658" t="s">
        <v>96</v>
      </c>
      <c r="AM16" s="658" t="s">
        <v>19</v>
      </c>
      <c r="AN16" s="216" t="s">
        <v>96</v>
      </c>
      <c r="AO16" s="216" t="s">
        <v>19</v>
      </c>
      <c r="AP16" s="207" t="s">
        <v>96</v>
      </c>
      <c r="AQ16" s="658" t="s">
        <v>96</v>
      </c>
      <c r="AR16" s="658" t="s">
        <v>107</v>
      </c>
      <c r="AS16" s="658" t="s">
        <v>19</v>
      </c>
      <c r="AT16" s="659" t="s">
        <v>96</v>
      </c>
      <c r="AU16" s="659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111" si="3">AQ18*AR18</f>
        <v>0</v>
      </c>
      <c r="AT18" s="233">
        <f>AV18</f>
        <v>0</v>
      </c>
      <c r="AU18" s="386">
        <f t="shared" ref="AU18:AU111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111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93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5</v>
      </c>
      <c r="AU27" s="228">
        <f>AT27*AR27</f>
        <v>3790.8999999999996</v>
      </c>
      <c r="AV27" s="279">
        <v>5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418</v>
      </c>
      <c r="AU32" s="228"/>
      <c r="AV32" s="279">
        <v>418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58</v>
      </c>
      <c r="AU34" s="228"/>
      <c r="AV34" s="279">
        <v>58</v>
      </c>
    </row>
    <row r="35" spans="1:48" s="62" customFormat="1" ht="24.75" customHeight="1">
      <c r="A35" s="59"/>
      <c r="B35" s="60"/>
      <c r="C35" s="427"/>
      <c r="D35" s="428"/>
      <c r="E35" s="79"/>
      <c r="F35" s="161" t="s">
        <v>41</v>
      </c>
      <c r="G35" s="222" t="s">
        <v>166</v>
      </c>
      <c r="H35" s="161"/>
      <c r="I35" s="222"/>
      <c r="J35" s="161"/>
      <c r="K35" s="222"/>
      <c r="L35" s="161"/>
      <c r="M35" s="222"/>
      <c r="N35" s="161"/>
      <c r="O35" s="222"/>
      <c r="P35" s="161"/>
      <c r="Q35" s="222"/>
      <c r="R35" s="161"/>
      <c r="S35" s="222"/>
      <c r="T35" s="161"/>
      <c r="U35" s="203" t="s">
        <v>364</v>
      </c>
      <c r="V35" s="115"/>
      <c r="W35" s="114"/>
      <c r="X35" s="193"/>
      <c r="Y35" s="200"/>
      <c r="Z35" s="193"/>
      <c r="AA35" s="193"/>
      <c r="AB35" s="35"/>
      <c r="AC35" s="170"/>
      <c r="AD35" s="209"/>
      <c r="AE35" s="194"/>
      <c r="AF35" s="209"/>
      <c r="AG35" s="194"/>
      <c r="AH35" s="209"/>
      <c r="AI35" s="194"/>
      <c r="AJ35" s="232">
        <v>56</v>
      </c>
      <c r="AK35" s="170"/>
      <c r="AL35" s="272"/>
      <c r="AM35" s="212"/>
      <c r="AN35" s="269"/>
      <c r="AO35" s="217"/>
      <c r="AP35" s="232"/>
      <c r="AQ35" s="229"/>
      <c r="AR35" s="212"/>
      <c r="AS35" s="212"/>
      <c r="AT35" s="247">
        <f t="shared" si="6"/>
        <v>56</v>
      </c>
      <c r="AU35" s="228"/>
      <c r="AV35" s="279">
        <v>56</v>
      </c>
    </row>
    <row r="36" spans="1:48" s="62" customFormat="1" ht="24.75" customHeight="1">
      <c r="A36" s="59"/>
      <c r="B36" s="60"/>
      <c r="C36" s="427"/>
      <c r="D36" s="428"/>
      <c r="E36" s="79"/>
      <c r="F36" s="161" t="s">
        <v>41</v>
      </c>
      <c r="G36" s="222" t="s">
        <v>166</v>
      </c>
      <c r="H36" s="161"/>
      <c r="I36" s="222"/>
      <c r="J36" s="161"/>
      <c r="K36" s="222"/>
      <c r="L36" s="161"/>
      <c r="M36" s="222"/>
      <c r="N36" s="161"/>
      <c r="O36" s="222"/>
      <c r="P36" s="161"/>
      <c r="Q36" s="222"/>
      <c r="R36" s="161"/>
      <c r="S36" s="222"/>
      <c r="T36" s="161"/>
      <c r="U36" s="203" t="s">
        <v>367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364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364</v>
      </c>
      <c r="AU36" s="228"/>
      <c r="AV36" s="279">
        <v>364</v>
      </c>
    </row>
    <row r="37" spans="1:48" s="62" customFormat="1" ht="31.5">
      <c r="A37" s="59"/>
      <c r="B37" s="60"/>
      <c r="C37" s="60"/>
      <c r="D37" s="22"/>
      <c r="E37" s="79" t="s">
        <v>24</v>
      </c>
      <c r="F37" s="51" t="s">
        <v>53</v>
      </c>
      <c r="G37" s="275" t="s">
        <v>168</v>
      </c>
      <c r="H37" s="115" t="s">
        <v>91</v>
      </c>
      <c r="I37" s="115" t="s">
        <v>91</v>
      </c>
      <c r="J37" s="115">
        <v>360</v>
      </c>
      <c r="K37" s="115">
        <v>2</v>
      </c>
      <c r="L37" s="276">
        <v>533.03</v>
      </c>
      <c r="M37" s="277">
        <f>J37*K37</f>
        <v>720</v>
      </c>
      <c r="N37" s="276">
        <f>L37*M37</f>
        <v>383781.6</v>
      </c>
      <c r="O37" s="115">
        <v>180</v>
      </c>
      <c r="P37" s="276">
        <v>87354</v>
      </c>
      <c r="Q37" s="115">
        <v>720</v>
      </c>
      <c r="R37" s="276">
        <v>475977.6</v>
      </c>
      <c r="S37" s="115">
        <v>420</v>
      </c>
      <c r="T37" s="276">
        <v>223872.6</v>
      </c>
      <c r="U37" s="278" t="s">
        <v>268</v>
      </c>
      <c r="V37" s="115">
        <v>834</v>
      </c>
      <c r="W37" s="114">
        <v>43222</v>
      </c>
      <c r="X37" s="115" t="s">
        <v>162</v>
      </c>
      <c r="Y37" s="221">
        <v>43242</v>
      </c>
      <c r="Z37" s="115"/>
      <c r="AA37" s="115"/>
      <c r="AB37" s="35">
        <v>0</v>
      </c>
      <c r="AC37" s="170">
        <v>0</v>
      </c>
      <c r="AD37" s="208">
        <v>39</v>
      </c>
      <c r="AE37" s="170">
        <v>20468.37</v>
      </c>
      <c r="AF37" s="208"/>
      <c r="AG37" s="170"/>
      <c r="AH37" s="208"/>
      <c r="AI37" s="170"/>
      <c r="AJ37" s="233">
        <v>2</v>
      </c>
      <c r="AK37" s="170">
        <f t="shared" si="5"/>
        <v>20468.37</v>
      </c>
      <c r="AL37" s="270">
        <v>0</v>
      </c>
      <c r="AM37" s="170">
        <v>0</v>
      </c>
      <c r="AN37" s="270">
        <v>39</v>
      </c>
      <c r="AO37" s="170">
        <f t="shared" si="2"/>
        <v>20468.37</v>
      </c>
      <c r="AP37" s="233"/>
      <c r="AQ37" s="233"/>
      <c r="AR37" s="170">
        <v>524.83000000000004</v>
      </c>
      <c r="AS37" s="170">
        <f t="shared" si="3"/>
        <v>0</v>
      </c>
      <c r="AT37" s="233">
        <f t="shared" si="6"/>
        <v>0</v>
      </c>
      <c r="AU37" s="386">
        <f t="shared" si="4"/>
        <v>0</v>
      </c>
      <c r="AV37" s="233">
        <v>0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268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307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482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417</v>
      </c>
      <c r="AU39" s="228"/>
      <c r="AV39" s="279">
        <v>417</v>
      </c>
    </row>
    <row r="40" spans="1:48" s="62" customFormat="1" ht="31.5">
      <c r="A40" s="59"/>
      <c r="B40" s="60"/>
      <c r="C40" s="60"/>
      <c r="D40" s="22"/>
      <c r="E40" s="79"/>
      <c r="F40" s="51" t="s">
        <v>53</v>
      </c>
      <c r="G40" s="275" t="s">
        <v>168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313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46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31.5">
      <c r="A41" s="59"/>
      <c r="B41" s="60"/>
      <c r="C41" s="60"/>
      <c r="D41" s="22"/>
      <c r="E41" s="79"/>
      <c r="F41" s="179" t="s">
        <v>53</v>
      </c>
      <c r="G41" s="222" t="s">
        <v>168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316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148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58</v>
      </c>
      <c r="AU41" s="228"/>
      <c r="AV41" s="279">
        <v>58</v>
      </c>
    </row>
    <row r="42" spans="1:48" s="62" customFormat="1" ht="31.5">
      <c r="A42" s="59"/>
      <c r="B42" s="60"/>
      <c r="C42" s="427"/>
      <c r="D42" s="428"/>
      <c r="E42" s="79"/>
      <c r="F42" s="179" t="s">
        <v>53</v>
      </c>
      <c r="G42" s="222" t="s">
        <v>168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365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42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42</v>
      </c>
      <c r="AU42" s="228"/>
      <c r="AV42" s="279">
        <v>42</v>
      </c>
    </row>
    <row r="43" spans="1:48" s="62" customFormat="1" ht="31.5">
      <c r="A43" s="59"/>
      <c r="B43" s="60"/>
      <c r="C43" s="427"/>
      <c r="D43" s="428"/>
      <c r="E43" s="79"/>
      <c r="F43" s="179" t="s">
        <v>53</v>
      </c>
      <c r="G43" s="222" t="s">
        <v>168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368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378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378</v>
      </c>
      <c r="AU43" s="228"/>
      <c r="AV43" s="279">
        <v>378</v>
      </c>
    </row>
    <row r="44" spans="1:48" s="62" customFormat="1" ht="26.25" customHeight="1">
      <c r="A44" s="59"/>
      <c r="B44" s="60"/>
      <c r="C44" s="60"/>
      <c r="D44" s="22"/>
      <c r="E44" s="79"/>
      <c r="F44" s="51" t="s">
        <v>43</v>
      </c>
      <c r="G44" s="275" t="s">
        <v>163</v>
      </c>
      <c r="H44" s="115"/>
      <c r="I44" s="115"/>
      <c r="J44" s="115"/>
      <c r="K44" s="115"/>
      <c r="L44" s="276"/>
      <c r="M44" s="277"/>
      <c r="N44" s="276"/>
      <c r="O44" s="115"/>
      <c r="P44" s="276"/>
      <c r="Q44" s="115"/>
      <c r="R44" s="276"/>
      <c r="S44" s="115"/>
      <c r="T44" s="276"/>
      <c r="U44" s="278" t="s">
        <v>260</v>
      </c>
      <c r="V44" s="115"/>
      <c r="W44" s="114"/>
      <c r="X44" s="115"/>
      <c r="Y44" s="221"/>
      <c r="Z44" s="115"/>
      <c r="AA44" s="115"/>
      <c r="AB44" s="35"/>
      <c r="AC44" s="170"/>
      <c r="AD44" s="208"/>
      <c r="AE44" s="170"/>
      <c r="AF44" s="208"/>
      <c r="AG44" s="170"/>
      <c r="AH44" s="208"/>
      <c r="AI44" s="170"/>
      <c r="AJ44" s="233">
        <v>50</v>
      </c>
      <c r="AK44" s="170"/>
      <c r="AL44" s="270"/>
      <c r="AM44" s="170"/>
      <c r="AN44" s="270"/>
      <c r="AO44" s="170"/>
      <c r="AP44" s="233"/>
      <c r="AQ44" s="233"/>
      <c r="AR44" s="170"/>
      <c r="AS44" s="170"/>
      <c r="AT44" s="233">
        <f t="shared" si="6"/>
        <v>0</v>
      </c>
      <c r="AU44" s="386"/>
      <c r="AV44" s="233">
        <v>0</v>
      </c>
    </row>
    <row r="45" spans="1:48" s="62" customFormat="1" ht="26.25" customHeight="1">
      <c r="A45" s="59"/>
      <c r="B45" s="60"/>
      <c r="C45" s="60"/>
      <c r="D45" s="22"/>
      <c r="E45" s="79"/>
      <c r="F45" s="51" t="s">
        <v>43</v>
      </c>
      <c r="G45" s="275" t="s">
        <v>163</v>
      </c>
      <c r="H45" s="115"/>
      <c r="I45" s="115"/>
      <c r="J45" s="115"/>
      <c r="K45" s="115"/>
      <c r="L45" s="276"/>
      <c r="M45" s="277"/>
      <c r="N45" s="276"/>
      <c r="O45" s="115"/>
      <c r="P45" s="276"/>
      <c r="Q45" s="115"/>
      <c r="R45" s="276"/>
      <c r="S45" s="115"/>
      <c r="T45" s="276"/>
      <c r="U45" s="278" t="s">
        <v>261</v>
      </c>
      <c r="V45" s="115"/>
      <c r="W45" s="114"/>
      <c r="X45" s="115"/>
      <c r="Y45" s="221"/>
      <c r="Z45" s="115"/>
      <c r="AA45" s="115"/>
      <c r="AB45" s="35"/>
      <c r="AC45" s="170"/>
      <c r="AD45" s="208"/>
      <c r="AE45" s="170"/>
      <c r="AF45" s="208"/>
      <c r="AG45" s="170"/>
      <c r="AH45" s="208"/>
      <c r="AI45" s="170"/>
      <c r="AJ45" s="233">
        <v>60</v>
      </c>
      <c r="AK45" s="170"/>
      <c r="AL45" s="270"/>
      <c r="AM45" s="170"/>
      <c r="AN45" s="270"/>
      <c r="AO45" s="170"/>
      <c r="AP45" s="233"/>
      <c r="AQ45" s="233"/>
      <c r="AR45" s="170"/>
      <c r="AS45" s="170"/>
      <c r="AT45" s="233">
        <f t="shared" si="6"/>
        <v>0</v>
      </c>
      <c r="AU45" s="386"/>
      <c r="AV45" s="233">
        <v>0</v>
      </c>
    </row>
    <row r="46" spans="1:48" s="62" customFormat="1" ht="26.25" customHeight="1">
      <c r="A46" s="59"/>
      <c r="B46" s="60"/>
      <c r="C46" s="60"/>
      <c r="D46" s="22"/>
      <c r="E46" s="79"/>
      <c r="F46" s="51" t="s">
        <v>43</v>
      </c>
      <c r="G46" s="275" t="s">
        <v>163</v>
      </c>
      <c r="H46" s="115"/>
      <c r="I46" s="115"/>
      <c r="J46" s="115"/>
      <c r="K46" s="115"/>
      <c r="L46" s="276"/>
      <c r="M46" s="277"/>
      <c r="N46" s="276"/>
      <c r="O46" s="115"/>
      <c r="P46" s="276"/>
      <c r="Q46" s="115"/>
      <c r="R46" s="276"/>
      <c r="S46" s="115"/>
      <c r="T46" s="276"/>
      <c r="U46" s="278" t="s">
        <v>282</v>
      </c>
      <c r="V46" s="115"/>
      <c r="W46" s="114"/>
      <c r="X46" s="115"/>
      <c r="Y46" s="221"/>
      <c r="Z46" s="115"/>
      <c r="AA46" s="115"/>
      <c r="AB46" s="35"/>
      <c r="AC46" s="170"/>
      <c r="AD46" s="208"/>
      <c r="AE46" s="170"/>
      <c r="AF46" s="208"/>
      <c r="AG46" s="170"/>
      <c r="AH46" s="208"/>
      <c r="AI46" s="170"/>
      <c r="AJ46" s="233">
        <v>45</v>
      </c>
      <c r="AK46" s="170"/>
      <c r="AL46" s="270"/>
      <c r="AM46" s="170"/>
      <c r="AN46" s="270"/>
      <c r="AO46" s="170"/>
      <c r="AP46" s="233"/>
      <c r="AQ46" s="233"/>
      <c r="AR46" s="170"/>
      <c r="AS46" s="170"/>
      <c r="AT46" s="233">
        <f t="shared" si="6"/>
        <v>0</v>
      </c>
      <c r="AU46" s="386"/>
      <c r="AV46" s="233">
        <v>0</v>
      </c>
    </row>
    <row r="47" spans="1:48" s="62" customFormat="1" ht="26.25" customHeight="1">
      <c r="A47" s="59"/>
      <c r="B47" s="60"/>
      <c r="C47" s="60"/>
      <c r="D47" s="22"/>
      <c r="E47" s="79"/>
      <c r="F47" s="162" t="s">
        <v>43</v>
      </c>
      <c r="G47" s="222" t="s">
        <v>163</v>
      </c>
      <c r="H47" s="193"/>
      <c r="I47" s="193"/>
      <c r="J47" s="193"/>
      <c r="K47" s="193"/>
      <c r="L47" s="243"/>
      <c r="M47" s="242"/>
      <c r="N47" s="243"/>
      <c r="O47" s="193"/>
      <c r="P47" s="243"/>
      <c r="Q47" s="193"/>
      <c r="R47" s="243"/>
      <c r="S47" s="193"/>
      <c r="T47" s="243"/>
      <c r="U47" s="203" t="s">
        <v>308</v>
      </c>
      <c r="V47" s="115"/>
      <c r="W47" s="114"/>
      <c r="X47" s="193"/>
      <c r="Y47" s="200"/>
      <c r="Z47" s="193"/>
      <c r="AA47" s="193"/>
      <c r="AB47" s="35"/>
      <c r="AC47" s="170"/>
      <c r="AD47" s="209"/>
      <c r="AE47" s="194"/>
      <c r="AF47" s="209"/>
      <c r="AG47" s="194"/>
      <c r="AH47" s="209"/>
      <c r="AI47" s="194"/>
      <c r="AJ47" s="232">
        <v>25</v>
      </c>
      <c r="AK47" s="170"/>
      <c r="AL47" s="272"/>
      <c r="AM47" s="212"/>
      <c r="AN47" s="269"/>
      <c r="AO47" s="217"/>
      <c r="AP47" s="232"/>
      <c r="AQ47" s="229"/>
      <c r="AR47" s="212"/>
      <c r="AS47" s="212"/>
      <c r="AT47" s="247">
        <f t="shared" si="6"/>
        <v>15</v>
      </c>
      <c r="AU47" s="228"/>
      <c r="AV47" s="279">
        <v>15</v>
      </c>
    </row>
    <row r="48" spans="1:48" s="62" customFormat="1" ht="26.25" customHeight="1">
      <c r="A48" s="59"/>
      <c r="B48" s="60"/>
      <c r="C48" s="60"/>
      <c r="D48" s="22"/>
      <c r="E48" s="79"/>
      <c r="F48" s="51" t="s">
        <v>43</v>
      </c>
      <c r="G48" s="275" t="s">
        <v>163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78" t="s">
        <v>317</v>
      </c>
      <c r="V48" s="115"/>
      <c r="W48" s="114"/>
      <c r="X48" s="115"/>
      <c r="Y48" s="221"/>
      <c r="Z48" s="115"/>
      <c r="AA48" s="115"/>
      <c r="AB48" s="35"/>
      <c r="AC48" s="170"/>
      <c r="AD48" s="208"/>
      <c r="AE48" s="170"/>
      <c r="AF48" s="208"/>
      <c r="AG48" s="170"/>
      <c r="AH48" s="208"/>
      <c r="AI48" s="170"/>
      <c r="AJ48" s="233">
        <v>5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33">
        <f t="shared" si="6"/>
        <v>0</v>
      </c>
      <c r="AU48" s="386"/>
      <c r="AV48" s="233">
        <v>0</v>
      </c>
    </row>
    <row r="49" spans="1:48" s="62" customFormat="1" ht="26.25" customHeight="1">
      <c r="A49" s="59"/>
      <c r="B49" s="60"/>
      <c r="C49" s="60"/>
      <c r="D49" s="22"/>
      <c r="E49" s="79"/>
      <c r="F49" s="162" t="s">
        <v>43</v>
      </c>
      <c r="G49" s="222" t="s">
        <v>163</v>
      </c>
      <c r="H49" s="193"/>
      <c r="I49" s="193"/>
      <c r="J49" s="193"/>
      <c r="K49" s="193"/>
      <c r="L49" s="243"/>
      <c r="M49" s="242"/>
      <c r="N49" s="243"/>
      <c r="O49" s="193"/>
      <c r="P49" s="243"/>
      <c r="Q49" s="193"/>
      <c r="R49" s="243"/>
      <c r="S49" s="193"/>
      <c r="T49" s="243"/>
      <c r="U49" s="203" t="s">
        <v>317</v>
      </c>
      <c r="V49" s="115"/>
      <c r="W49" s="114"/>
      <c r="X49" s="193"/>
      <c r="Y49" s="200"/>
      <c r="Z49" s="193"/>
      <c r="AA49" s="193"/>
      <c r="AB49" s="35"/>
      <c r="AC49" s="170"/>
      <c r="AD49" s="209"/>
      <c r="AE49" s="194"/>
      <c r="AF49" s="209"/>
      <c r="AG49" s="194"/>
      <c r="AH49" s="209"/>
      <c r="AI49" s="194"/>
      <c r="AJ49" s="232">
        <v>35</v>
      </c>
      <c r="AK49" s="170"/>
      <c r="AL49" s="272"/>
      <c r="AM49" s="212"/>
      <c r="AN49" s="269"/>
      <c r="AO49" s="217"/>
      <c r="AP49" s="232"/>
      <c r="AQ49" s="229"/>
      <c r="AR49" s="212"/>
      <c r="AS49" s="212"/>
      <c r="AT49" s="247">
        <f t="shared" si="6"/>
        <v>35</v>
      </c>
      <c r="AU49" s="228"/>
      <c r="AV49" s="279">
        <v>35</v>
      </c>
    </row>
    <row r="50" spans="1:48" s="62" customFormat="1" ht="26.25" customHeight="1">
      <c r="A50" s="59"/>
      <c r="B50" s="60"/>
      <c r="C50" s="60"/>
      <c r="D50" s="22"/>
      <c r="E50" s="79"/>
      <c r="F50" s="162" t="s">
        <v>43</v>
      </c>
      <c r="G50" s="222" t="s">
        <v>163</v>
      </c>
      <c r="H50" s="193"/>
      <c r="I50" s="193"/>
      <c r="J50" s="193"/>
      <c r="K50" s="193"/>
      <c r="L50" s="243"/>
      <c r="M50" s="242"/>
      <c r="N50" s="243"/>
      <c r="O50" s="193"/>
      <c r="P50" s="243"/>
      <c r="Q50" s="193"/>
      <c r="R50" s="243"/>
      <c r="S50" s="193"/>
      <c r="T50" s="243"/>
      <c r="U50" s="203" t="s">
        <v>337</v>
      </c>
      <c r="V50" s="115"/>
      <c r="W50" s="114"/>
      <c r="X50" s="193"/>
      <c r="Y50" s="200"/>
      <c r="Z50" s="193"/>
      <c r="AA50" s="193"/>
      <c r="AB50" s="35"/>
      <c r="AC50" s="170"/>
      <c r="AD50" s="209"/>
      <c r="AE50" s="194"/>
      <c r="AF50" s="209"/>
      <c r="AG50" s="194"/>
      <c r="AH50" s="209"/>
      <c r="AI50" s="194"/>
      <c r="AJ50" s="232">
        <v>20</v>
      </c>
      <c r="AK50" s="170"/>
      <c r="AL50" s="272"/>
      <c r="AM50" s="212"/>
      <c r="AN50" s="269"/>
      <c r="AO50" s="217"/>
      <c r="AP50" s="232"/>
      <c r="AQ50" s="229"/>
      <c r="AR50" s="212"/>
      <c r="AS50" s="212"/>
      <c r="AT50" s="247">
        <f t="shared" si="6"/>
        <v>20</v>
      </c>
      <c r="AU50" s="228"/>
      <c r="AV50" s="279">
        <v>20</v>
      </c>
    </row>
    <row r="51" spans="1:48" s="62" customFormat="1" ht="26.25" customHeight="1">
      <c r="A51" s="59"/>
      <c r="B51" s="60"/>
      <c r="C51" s="60"/>
      <c r="D51" s="22"/>
      <c r="E51" s="79"/>
      <c r="F51" s="162" t="s">
        <v>43</v>
      </c>
      <c r="G51" s="222" t="s">
        <v>163</v>
      </c>
      <c r="H51" s="193"/>
      <c r="I51" s="193"/>
      <c r="J51" s="193"/>
      <c r="K51" s="193"/>
      <c r="L51" s="243"/>
      <c r="M51" s="242"/>
      <c r="N51" s="243"/>
      <c r="O51" s="193"/>
      <c r="P51" s="243"/>
      <c r="Q51" s="193"/>
      <c r="R51" s="243"/>
      <c r="S51" s="193"/>
      <c r="T51" s="243"/>
      <c r="U51" s="203" t="s">
        <v>337</v>
      </c>
      <c r="V51" s="115"/>
      <c r="W51" s="114"/>
      <c r="X51" s="193"/>
      <c r="Y51" s="200"/>
      <c r="Z51" s="193"/>
      <c r="AA51" s="193"/>
      <c r="AB51" s="35"/>
      <c r="AC51" s="170"/>
      <c r="AD51" s="209"/>
      <c r="AE51" s="194"/>
      <c r="AF51" s="209"/>
      <c r="AG51" s="194"/>
      <c r="AH51" s="209"/>
      <c r="AI51" s="194"/>
      <c r="AJ51" s="232">
        <v>25</v>
      </c>
      <c r="AK51" s="170"/>
      <c r="AL51" s="272"/>
      <c r="AM51" s="212"/>
      <c r="AN51" s="269"/>
      <c r="AO51" s="217"/>
      <c r="AP51" s="232"/>
      <c r="AQ51" s="229"/>
      <c r="AR51" s="212"/>
      <c r="AS51" s="212"/>
      <c r="AT51" s="247">
        <f t="shared" si="6"/>
        <v>25</v>
      </c>
      <c r="AU51" s="228"/>
      <c r="AV51" s="279">
        <v>25</v>
      </c>
    </row>
    <row r="52" spans="1:48" s="62" customFormat="1" ht="26.25" customHeight="1">
      <c r="A52" s="59"/>
      <c r="B52" s="60"/>
      <c r="C52" s="427"/>
      <c r="D52" s="428"/>
      <c r="E52" s="79"/>
      <c r="F52" s="162" t="s">
        <v>43</v>
      </c>
      <c r="G52" s="222" t="s">
        <v>163</v>
      </c>
      <c r="H52" s="193"/>
      <c r="I52" s="193"/>
      <c r="J52" s="193"/>
      <c r="K52" s="193"/>
      <c r="L52" s="243"/>
      <c r="M52" s="242"/>
      <c r="N52" s="243"/>
      <c r="O52" s="193"/>
      <c r="P52" s="243"/>
      <c r="Q52" s="193"/>
      <c r="R52" s="243"/>
      <c r="S52" s="193"/>
      <c r="T52" s="243"/>
      <c r="U52" s="203" t="s">
        <v>369</v>
      </c>
      <c r="V52" s="115"/>
      <c r="W52" s="114"/>
      <c r="X52" s="193"/>
      <c r="Y52" s="200"/>
      <c r="Z52" s="193"/>
      <c r="AA52" s="193"/>
      <c r="AB52" s="35"/>
      <c r="AC52" s="170"/>
      <c r="AD52" s="209"/>
      <c r="AE52" s="194"/>
      <c r="AF52" s="209"/>
      <c r="AG52" s="194"/>
      <c r="AH52" s="209"/>
      <c r="AI52" s="194"/>
      <c r="AJ52" s="232">
        <v>2</v>
      </c>
      <c r="AK52" s="170"/>
      <c r="AL52" s="272"/>
      <c r="AM52" s="212"/>
      <c r="AN52" s="269"/>
      <c r="AO52" s="217"/>
      <c r="AP52" s="232"/>
      <c r="AQ52" s="229"/>
      <c r="AR52" s="212"/>
      <c r="AS52" s="212"/>
      <c r="AT52" s="247">
        <f t="shared" si="6"/>
        <v>2</v>
      </c>
      <c r="AU52" s="228"/>
      <c r="AV52" s="279">
        <v>2</v>
      </c>
    </row>
    <row r="53" spans="1:48" s="62" customFormat="1" ht="24" customHeight="1">
      <c r="A53" s="59"/>
      <c r="B53" s="60"/>
      <c r="C53" s="60"/>
      <c r="D53" s="22"/>
      <c r="E53" s="79" t="s">
        <v>24</v>
      </c>
      <c r="F53" s="51" t="s">
        <v>269</v>
      </c>
      <c r="G53" s="275" t="s">
        <v>152</v>
      </c>
      <c r="H53" s="115" t="s">
        <v>91</v>
      </c>
      <c r="I53" s="115" t="s">
        <v>91</v>
      </c>
      <c r="J53" s="115"/>
      <c r="K53" s="115"/>
      <c r="L53" s="276"/>
      <c r="M53" s="277">
        <f>J53*K53</f>
        <v>0</v>
      </c>
      <c r="N53" s="276">
        <f>L53*M53</f>
        <v>0</v>
      </c>
      <c r="O53" s="115"/>
      <c r="P53" s="276"/>
      <c r="Q53" s="115"/>
      <c r="R53" s="276"/>
      <c r="S53" s="115"/>
      <c r="T53" s="276"/>
      <c r="U53" s="278" t="s">
        <v>265</v>
      </c>
      <c r="V53" s="115">
        <v>1405</v>
      </c>
      <c r="W53" s="114">
        <v>43052</v>
      </c>
      <c r="X53" s="115"/>
      <c r="Y53" s="115"/>
      <c r="Z53" s="115"/>
      <c r="AA53" s="115"/>
      <c r="AB53" s="35">
        <v>120</v>
      </c>
      <c r="AC53" s="170">
        <v>58734</v>
      </c>
      <c r="AD53" s="208"/>
      <c r="AE53" s="170"/>
      <c r="AF53" s="208"/>
      <c r="AG53" s="170"/>
      <c r="AH53" s="208"/>
      <c r="AI53" s="170"/>
      <c r="AJ53" s="233">
        <v>140</v>
      </c>
      <c r="AK53" s="170">
        <f>AE53+AG53+AI53</f>
        <v>0</v>
      </c>
      <c r="AL53" s="270">
        <f>15+30+10+25+20+20</f>
        <v>120</v>
      </c>
      <c r="AM53" s="170">
        <f>7341.75+14683.5+4894.5+12236.25+9789</f>
        <v>48945</v>
      </c>
      <c r="AN53" s="270">
        <v>0</v>
      </c>
      <c r="AO53" s="170">
        <f>AC53+AK53-AM53</f>
        <v>9789</v>
      </c>
      <c r="AP53" s="233"/>
      <c r="AQ53" s="233"/>
      <c r="AR53" s="170">
        <v>489.45</v>
      </c>
      <c r="AS53" s="170">
        <f>AQ53*AR53</f>
        <v>0</v>
      </c>
      <c r="AT53" s="233">
        <f t="shared" si="6"/>
        <v>0</v>
      </c>
      <c r="AU53" s="386">
        <f>AT53*AR53</f>
        <v>0</v>
      </c>
      <c r="AV53" s="233">
        <v>0</v>
      </c>
    </row>
    <row r="54" spans="1:48" s="62" customFormat="1" ht="26.25" hidden="1" customHeight="1">
      <c r="A54" s="59"/>
      <c r="B54" s="60"/>
      <c r="C54" s="60"/>
      <c r="D54" s="22"/>
      <c r="E54" s="79" t="s">
        <v>24</v>
      </c>
      <c r="F54" s="51" t="s">
        <v>44</v>
      </c>
      <c r="G54" s="275" t="s">
        <v>116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186</v>
      </c>
      <c r="V54" s="115">
        <v>1418</v>
      </c>
      <c r="W54" s="114">
        <v>43312</v>
      </c>
      <c r="X54" s="115" t="s">
        <v>184</v>
      </c>
      <c r="Y54" s="221">
        <v>43332</v>
      </c>
      <c r="Z54" s="115" t="s">
        <v>185</v>
      </c>
      <c r="AA54" s="221">
        <v>43320</v>
      </c>
      <c r="AB54" s="22">
        <v>0</v>
      </c>
      <c r="AC54" s="170">
        <v>0</v>
      </c>
      <c r="AD54" s="208">
        <v>55</v>
      </c>
      <c r="AE54" s="170">
        <v>10780</v>
      </c>
      <c r="AF54" s="208"/>
      <c r="AG54" s="170"/>
      <c r="AH54" s="208"/>
      <c r="AI54" s="170"/>
      <c r="AJ54" s="233"/>
      <c r="AK54" s="170">
        <f t="shared" si="5"/>
        <v>10780</v>
      </c>
      <c r="AL54" s="270">
        <v>0</v>
      </c>
      <c r="AM54" s="170">
        <v>0</v>
      </c>
      <c r="AN54" s="270">
        <v>55</v>
      </c>
      <c r="AO54" s="170">
        <v>0</v>
      </c>
      <c r="AP54" s="233"/>
      <c r="AQ54" s="233"/>
      <c r="AR54" s="170">
        <v>196</v>
      </c>
      <c r="AS54" s="170">
        <f t="shared" si="3"/>
        <v>0</v>
      </c>
      <c r="AT54" s="233">
        <f t="shared" si="6"/>
        <v>0</v>
      </c>
      <c r="AU54" s="386">
        <f t="shared" si="4"/>
        <v>0</v>
      </c>
      <c r="AV54" s="233">
        <v>0</v>
      </c>
    </row>
    <row r="55" spans="1:48" s="62" customFormat="1" ht="26.25" customHeight="1">
      <c r="A55" s="59"/>
      <c r="B55" s="60"/>
      <c r="C55" s="60"/>
      <c r="D55" s="22"/>
      <c r="E55" s="79"/>
      <c r="F55" s="51" t="s">
        <v>269</v>
      </c>
      <c r="G55" s="275" t="s">
        <v>152</v>
      </c>
      <c r="H55" s="115"/>
      <c r="I55" s="115"/>
      <c r="J55" s="115"/>
      <c r="K55" s="115"/>
      <c r="L55" s="276"/>
      <c r="M55" s="277"/>
      <c r="N55" s="276"/>
      <c r="O55" s="115"/>
      <c r="P55" s="276"/>
      <c r="Q55" s="115"/>
      <c r="R55" s="276"/>
      <c r="S55" s="115"/>
      <c r="T55" s="276"/>
      <c r="U55" s="278" t="s">
        <v>265</v>
      </c>
      <c r="V55" s="115"/>
      <c r="W55" s="114"/>
      <c r="X55" s="115"/>
      <c r="Y55" s="221"/>
      <c r="Z55" s="115"/>
      <c r="AA55" s="221"/>
      <c r="AB55" s="22"/>
      <c r="AC55" s="170"/>
      <c r="AD55" s="208"/>
      <c r="AE55" s="170"/>
      <c r="AF55" s="208"/>
      <c r="AG55" s="170"/>
      <c r="AH55" s="208"/>
      <c r="AI55" s="170"/>
      <c r="AJ55" s="233">
        <v>50</v>
      </c>
      <c r="AK55" s="170"/>
      <c r="AL55" s="270"/>
      <c r="AM55" s="170"/>
      <c r="AN55" s="270"/>
      <c r="AO55" s="170"/>
      <c r="AP55" s="233"/>
      <c r="AQ55" s="233"/>
      <c r="AR55" s="170"/>
      <c r="AS55" s="170"/>
      <c r="AT55" s="233">
        <f t="shared" si="6"/>
        <v>0</v>
      </c>
      <c r="AU55" s="386"/>
      <c r="AV55" s="233">
        <v>0</v>
      </c>
    </row>
    <row r="56" spans="1:48" s="62" customFormat="1" ht="26.25" customHeight="1">
      <c r="A56" s="59"/>
      <c r="B56" s="60"/>
      <c r="C56" s="60"/>
      <c r="D56" s="22"/>
      <c r="E56" s="79"/>
      <c r="F56" s="485" t="s">
        <v>269</v>
      </c>
      <c r="G56" s="222" t="s">
        <v>152</v>
      </c>
      <c r="H56" s="115"/>
      <c r="I56" s="115"/>
      <c r="J56" s="115"/>
      <c r="K56" s="115"/>
      <c r="L56" s="276"/>
      <c r="M56" s="277"/>
      <c r="N56" s="276"/>
      <c r="O56" s="115"/>
      <c r="P56" s="276"/>
      <c r="Q56" s="115"/>
      <c r="R56" s="276"/>
      <c r="S56" s="115"/>
      <c r="T56" s="276"/>
      <c r="U56" s="203" t="s">
        <v>314</v>
      </c>
      <c r="V56" s="115"/>
      <c r="W56" s="114"/>
      <c r="X56" s="115"/>
      <c r="Y56" s="221"/>
      <c r="Z56" s="115"/>
      <c r="AA56" s="221"/>
      <c r="AB56" s="22"/>
      <c r="AC56" s="170"/>
      <c r="AD56" s="208"/>
      <c r="AE56" s="170"/>
      <c r="AF56" s="208"/>
      <c r="AG56" s="170"/>
      <c r="AH56" s="208"/>
      <c r="AI56" s="170"/>
      <c r="AJ56" s="232">
        <v>75</v>
      </c>
      <c r="AK56" s="170"/>
      <c r="AL56" s="270"/>
      <c r="AM56" s="170"/>
      <c r="AN56" s="270"/>
      <c r="AO56" s="170"/>
      <c r="AP56" s="233"/>
      <c r="AQ56" s="233"/>
      <c r="AR56" s="170"/>
      <c r="AS56" s="170"/>
      <c r="AT56" s="247">
        <f t="shared" si="6"/>
        <v>20</v>
      </c>
      <c r="AU56" s="386"/>
      <c r="AV56" s="279">
        <v>20</v>
      </c>
    </row>
    <row r="57" spans="1:48" s="62" customFormat="1" ht="26.25" customHeight="1">
      <c r="A57" s="59"/>
      <c r="B57" s="60"/>
      <c r="C57" s="60"/>
      <c r="D57" s="22"/>
      <c r="E57" s="79"/>
      <c r="F57" s="485" t="s">
        <v>269</v>
      </c>
      <c r="G57" s="222" t="s">
        <v>152</v>
      </c>
      <c r="H57" s="115"/>
      <c r="I57" s="115"/>
      <c r="J57" s="115"/>
      <c r="K57" s="115"/>
      <c r="L57" s="276"/>
      <c r="M57" s="277"/>
      <c r="N57" s="276"/>
      <c r="O57" s="115"/>
      <c r="P57" s="276"/>
      <c r="Q57" s="115"/>
      <c r="R57" s="276"/>
      <c r="S57" s="115"/>
      <c r="T57" s="276"/>
      <c r="U57" s="203" t="s">
        <v>322</v>
      </c>
      <c r="V57" s="115"/>
      <c r="W57" s="114"/>
      <c r="X57" s="115"/>
      <c r="Y57" s="221"/>
      <c r="Z57" s="115"/>
      <c r="AA57" s="221"/>
      <c r="AB57" s="22"/>
      <c r="AC57" s="170"/>
      <c r="AD57" s="208"/>
      <c r="AE57" s="170"/>
      <c r="AF57" s="208"/>
      <c r="AG57" s="170"/>
      <c r="AH57" s="208"/>
      <c r="AI57" s="170"/>
      <c r="AJ57" s="232">
        <v>35</v>
      </c>
      <c r="AK57" s="170"/>
      <c r="AL57" s="270"/>
      <c r="AM57" s="170"/>
      <c r="AN57" s="270"/>
      <c r="AO57" s="170"/>
      <c r="AP57" s="233"/>
      <c r="AQ57" s="233"/>
      <c r="AR57" s="170"/>
      <c r="AS57" s="170"/>
      <c r="AT57" s="247">
        <f t="shared" si="6"/>
        <v>35</v>
      </c>
      <c r="AU57" s="386"/>
      <c r="AV57" s="279">
        <v>35</v>
      </c>
    </row>
    <row r="58" spans="1:48" s="62" customFormat="1" ht="26.25" customHeight="1">
      <c r="A58" s="59"/>
      <c r="B58" s="60"/>
      <c r="C58" s="60"/>
      <c r="D58" s="22"/>
      <c r="E58" s="79"/>
      <c r="F58" s="485" t="s">
        <v>269</v>
      </c>
      <c r="G58" s="222" t="s">
        <v>152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322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490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490</v>
      </c>
      <c r="AU58" s="386"/>
      <c r="AV58" s="279">
        <v>490</v>
      </c>
    </row>
    <row r="59" spans="1:48" s="62" customFormat="1" ht="26.25" customHeight="1">
      <c r="A59" s="59"/>
      <c r="B59" s="60"/>
      <c r="C59" s="60"/>
      <c r="D59" s="22"/>
      <c r="E59" s="79"/>
      <c r="F59" s="177" t="s">
        <v>44</v>
      </c>
      <c r="G59" s="222" t="s">
        <v>116</v>
      </c>
      <c r="H59" s="115"/>
      <c r="I59" s="115"/>
      <c r="J59" s="115"/>
      <c r="K59" s="115"/>
      <c r="L59" s="276"/>
      <c r="M59" s="277"/>
      <c r="N59" s="276"/>
      <c r="O59" s="115"/>
      <c r="P59" s="276"/>
      <c r="Q59" s="115"/>
      <c r="R59" s="276"/>
      <c r="S59" s="115"/>
      <c r="T59" s="276"/>
      <c r="U59" s="203" t="s">
        <v>332</v>
      </c>
      <c r="V59" s="115"/>
      <c r="W59" s="114"/>
      <c r="X59" s="115"/>
      <c r="Y59" s="221"/>
      <c r="Z59" s="115"/>
      <c r="AA59" s="221"/>
      <c r="AB59" s="22"/>
      <c r="AC59" s="170"/>
      <c r="AD59" s="208"/>
      <c r="AE59" s="170"/>
      <c r="AF59" s="208"/>
      <c r="AG59" s="170"/>
      <c r="AH59" s="208"/>
      <c r="AI59" s="170"/>
      <c r="AJ59" s="232">
        <v>475</v>
      </c>
      <c r="AK59" s="170"/>
      <c r="AL59" s="270"/>
      <c r="AM59" s="170"/>
      <c r="AN59" s="270"/>
      <c r="AO59" s="170"/>
      <c r="AP59" s="233"/>
      <c r="AQ59" s="233"/>
      <c r="AR59" s="170"/>
      <c r="AS59" s="170"/>
      <c r="AT59" s="247">
        <f t="shared" si="6"/>
        <v>165</v>
      </c>
      <c r="AU59" s="386"/>
      <c r="AV59" s="279">
        <v>165</v>
      </c>
    </row>
    <row r="60" spans="1:48" s="62" customFormat="1" ht="27" hidden="1" customHeight="1">
      <c r="A60" s="59"/>
      <c r="B60" s="60"/>
      <c r="C60" s="60"/>
      <c r="D60" s="22"/>
      <c r="E60" s="79" t="s">
        <v>24</v>
      </c>
      <c r="F60" s="51" t="s">
        <v>52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112</v>
      </c>
      <c r="V60" s="115">
        <v>1625</v>
      </c>
      <c r="W60" s="114">
        <v>43087</v>
      </c>
      <c r="X60" s="115" t="s">
        <v>109</v>
      </c>
      <c r="Y60" s="221">
        <v>43109</v>
      </c>
      <c r="Z60" s="115" t="s">
        <v>110</v>
      </c>
      <c r="AA60" s="221">
        <v>43111</v>
      </c>
      <c r="AB60" s="22">
        <v>0</v>
      </c>
      <c r="AC60" s="170">
        <v>0</v>
      </c>
      <c r="AD60" s="208">
        <v>5</v>
      </c>
      <c r="AE60" s="170">
        <v>1010.9</v>
      </c>
      <c r="AF60" s="208"/>
      <c r="AG60" s="170"/>
      <c r="AH60" s="208"/>
      <c r="AI60" s="170"/>
      <c r="AJ60" s="232"/>
      <c r="AK60" s="170">
        <f t="shared" si="5"/>
        <v>1010.9</v>
      </c>
      <c r="AL60" s="270">
        <v>5</v>
      </c>
      <c r="AM60" s="170">
        <v>1010.9</v>
      </c>
      <c r="AN60" s="270">
        <v>0</v>
      </c>
      <c r="AO60" s="170">
        <f t="shared" si="2"/>
        <v>0</v>
      </c>
      <c r="AP60" s="233"/>
      <c r="AQ60" s="233"/>
      <c r="AR60" s="170"/>
      <c r="AS60" s="170">
        <f t="shared" si="3"/>
        <v>0</v>
      </c>
      <c r="AT60" s="247">
        <f t="shared" si="6"/>
        <v>0</v>
      </c>
      <c r="AU60" s="170">
        <f t="shared" si="4"/>
        <v>0</v>
      </c>
      <c r="AV60" s="233">
        <v>0</v>
      </c>
    </row>
    <row r="61" spans="1:48" s="62" customFormat="1" ht="27" hidden="1" customHeight="1">
      <c r="A61" s="59"/>
      <c r="B61" s="60"/>
      <c r="C61" s="60"/>
      <c r="D61" s="22"/>
      <c r="E61" s="79" t="s">
        <v>24</v>
      </c>
      <c r="F61" s="51" t="s">
        <v>52</v>
      </c>
      <c r="G61" s="275" t="s">
        <v>111</v>
      </c>
      <c r="H61" s="115" t="s">
        <v>91</v>
      </c>
      <c r="I61" s="115" t="s">
        <v>91</v>
      </c>
      <c r="J61" s="115">
        <v>2016</v>
      </c>
      <c r="K61" s="115">
        <v>2</v>
      </c>
      <c r="L61" s="276">
        <v>199.06</v>
      </c>
      <c r="M61" s="277">
        <f t="shared" si="0"/>
        <v>4032</v>
      </c>
      <c r="N61" s="276">
        <f t="shared" si="1"/>
        <v>802609.92</v>
      </c>
      <c r="O61" s="115">
        <v>4130</v>
      </c>
      <c r="P61" s="276">
        <v>1054554.2</v>
      </c>
      <c r="Q61" s="115"/>
      <c r="R61" s="276"/>
      <c r="S61" s="115"/>
      <c r="T61" s="276"/>
      <c r="U61" s="278" t="s">
        <v>112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490</v>
      </c>
      <c r="AE61" s="170">
        <v>99068.2</v>
      </c>
      <c r="AF61" s="208"/>
      <c r="AG61" s="170"/>
      <c r="AH61" s="208"/>
      <c r="AI61" s="170"/>
      <c r="AJ61" s="232"/>
      <c r="AK61" s="170">
        <f t="shared" si="5"/>
        <v>99068.2</v>
      </c>
      <c r="AL61" s="270">
        <f>135+130+130</f>
        <v>395</v>
      </c>
      <c r="AM61" s="170">
        <f>AL61*AR61</f>
        <v>79861.100000000006</v>
      </c>
      <c r="AN61" s="270">
        <v>95</v>
      </c>
      <c r="AO61" s="170">
        <f t="shared" si="2"/>
        <v>19207.099999999991</v>
      </c>
      <c r="AP61" s="233"/>
      <c r="AQ61" s="233"/>
      <c r="AR61" s="170">
        <v>202.18</v>
      </c>
      <c r="AS61" s="170">
        <f t="shared" si="3"/>
        <v>0</v>
      </c>
      <c r="AT61" s="247">
        <f t="shared" si="6"/>
        <v>0</v>
      </c>
      <c r="AU61" s="386">
        <f t="shared" si="4"/>
        <v>0</v>
      </c>
      <c r="AV61" s="233">
        <v>0</v>
      </c>
    </row>
    <row r="62" spans="1:48" s="62" customFormat="1" ht="27" hidden="1" customHeight="1">
      <c r="A62" s="59"/>
      <c r="B62" s="60"/>
      <c r="C62" s="60"/>
      <c r="D62" s="22"/>
      <c r="E62" s="79" t="s">
        <v>24</v>
      </c>
      <c r="F62" s="51" t="s">
        <v>52</v>
      </c>
      <c r="G62" s="275" t="s">
        <v>111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112</v>
      </c>
      <c r="V62" s="115">
        <v>1745</v>
      </c>
      <c r="W62" s="114">
        <v>43096</v>
      </c>
      <c r="X62" s="115" t="s">
        <v>117</v>
      </c>
      <c r="Y62" s="221">
        <v>43109</v>
      </c>
      <c r="Z62" s="115" t="s">
        <v>118</v>
      </c>
      <c r="AA62" s="221">
        <v>43133</v>
      </c>
      <c r="AB62" s="22">
        <v>0</v>
      </c>
      <c r="AC62" s="170">
        <v>0</v>
      </c>
      <c r="AD62" s="208">
        <v>195</v>
      </c>
      <c r="AE62" s="170">
        <v>39425.1</v>
      </c>
      <c r="AF62" s="208"/>
      <c r="AG62" s="170"/>
      <c r="AH62" s="208"/>
      <c r="AI62" s="170"/>
      <c r="AJ62" s="232"/>
      <c r="AK62" s="170">
        <f t="shared" si="5"/>
        <v>39425.1</v>
      </c>
      <c r="AL62" s="270">
        <v>0</v>
      </c>
      <c r="AM62" s="170">
        <v>0</v>
      </c>
      <c r="AN62" s="270">
        <v>195</v>
      </c>
      <c r="AO62" s="170">
        <f t="shared" si="2"/>
        <v>39425.1</v>
      </c>
      <c r="AP62" s="233"/>
      <c r="AQ62" s="233"/>
      <c r="AR62" s="170">
        <v>202.18</v>
      </c>
      <c r="AS62" s="170">
        <f t="shared" si="3"/>
        <v>0</v>
      </c>
      <c r="AT62" s="247">
        <f t="shared" si="6"/>
        <v>0</v>
      </c>
      <c r="AU62" s="386">
        <f t="shared" si="4"/>
        <v>0</v>
      </c>
      <c r="AV62" s="233">
        <v>0</v>
      </c>
    </row>
    <row r="63" spans="1:48" s="62" customFormat="1" ht="27" customHeight="1">
      <c r="A63" s="59"/>
      <c r="B63" s="60"/>
      <c r="C63" s="60"/>
      <c r="D63" s="22"/>
      <c r="E63" s="79"/>
      <c r="F63" s="177" t="s">
        <v>44</v>
      </c>
      <c r="G63" s="222" t="s">
        <v>116</v>
      </c>
      <c r="H63" s="115"/>
      <c r="I63" s="115"/>
      <c r="J63" s="115"/>
      <c r="K63" s="115"/>
      <c r="L63" s="276"/>
      <c r="M63" s="277"/>
      <c r="N63" s="276"/>
      <c r="O63" s="115"/>
      <c r="P63" s="276"/>
      <c r="Q63" s="115"/>
      <c r="R63" s="276"/>
      <c r="S63" s="115"/>
      <c r="T63" s="276"/>
      <c r="U63" s="203" t="s">
        <v>338</v>
      </c>
      <c r="V63" s="115"/>
      <c r="W63" s="114"/>
      <c r="X63" s="115"/>
      <c r="Y63" s="221"/>
      <c r="Z63" s="115"/>
      <c r="AA63" s="221"/>
      <c r="AB63" s="22"/>
      <c r="AC63" s="170"/>
      <c r="AD63" s="208"/>
      <c r="AE63" s="170"/>
      <c r="AF63" s="208"/>
      <c r="AG63" s="170"/>
      <c r="AH63" s="208"/>
      <c r="AI63" s="170"/>
      <c r="AJ63" s="232">
        <v>360</v>
      </c>
      <c r="AK63" s="170"/>
      <c r="AL63" s="270"/>
      <c r="AM63" s="170"/>
      <c r="AN63" s="270"/>
      <c r="AO63" s="170"/>
      <c r="AP63" s="233"/>
      <c r="AQ63" s="233"/>
      <c r="AR63" s="170"/>
      <c r="AS63" s="170"/>
      <c r="AT63" s="247">
        <f t="shared" si="6"/>
        <v>360</v>
      </c>
      <c r="AU63" s="386"/>
      <c r="AV63" s="279">
        <v>360</v>
      </c>
    </row>
    <row r="64" spans="1:48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133</v>
      </c>
      <c r="V64" s="115">
        <v>234</v>
      </c>
      <c r="W64" s="114">
        <v>43143</v>
      </c>
      <c r="X64" s="115" t="s">
        <v>143</v>
      </c>
      <c r="Y64" s="221">
        <v>43164</v>
      </c>
      <c r="Z64" s="115"/>
      <c r="AA64" s="115"/>
      <c r="AB64" s="22">
        <v>0</v>
      </c>
      <c r="AC64" s="170">
        <v>0</v>
      </c>
      <c r="AD64" s="208">
        <v>320</v>
      </c>
      <c r="AE64" s="170">
        <v>64697.599999999999</v>
      </c>
      <c r="AF64" s="208"/>
      <c r="AG64" s="170"/>
      <c r="AH64" s="208"/>
      <c r="AI64" s="170"/>
      <c r="AJ64" s="233"/>
      <c r="AK64" s="170">
        <f t="shared" si="5"/>
        <v>64697.599999999999</v>
      </c>
      <c r="AL64" s="270">
        <v>0</v>
      </c>
      <c r="AM64" s="170">
        <v>0</v>
      </c>
      <c r="AN64" s="270">
        <v>320</v>
      </c>
      <c r="AO64" s="170">
        <f t="shared" si="2"/>
        <v>64697.599999999999</v>
      </c>
      <c r="AP64" s="233"/>
      <c r="AQ64" s="233"/>
      <c r="AR64" s="170">
        <v>202.18</v>
      </c>
      <c r="AS64" s="170">
        <f t="shared" si="3"/>
        <v>0</v>
      </c>
      <c r="AT64" s="233">
        <f t="shared" si="6"/>
        <v>0</v>
      </c>
      <c r="AU64" s="386">
        <f t="shared" si="4"/>
        <v>0</v>
      </c>
      <c r="AV64" s="233">
        <v>0</v>
      </c>
    </row>
    <row r="65" spans="1:49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132</v>
      </c>
      <c r="V65" s="115">
        <v>234</v>
      </c>
      <c r="W65" s="114">
        <v>43143</v>
      </c>
      <c r="X65" s="115" t="s">
        <v>143</v>
      </c>
      <c r="Y65" s="221">
        <v>43164</v>
      </c>
      <c r="Z65" s="115"/>
      <c r="AA65" s="115"/>
      <c r="AB65" s="22">
        <v>0</v>
      </c>
      <c r="AC65" s="170">
        <v>0</v>
      </c>
      <c r="AD65" s="208">
        <v>15</v>
      </c>
      <c r="AE65" s="170">
        <v>3032.7</v>
      </c>
      <c r="AF65" s="208"/>
      <c r="AG65" s="170"/>
      <c r="AH65" s="208"/>
      <c r="AI65" s="170"/>
      <c r="AJ65" s="233"/>
      <c r="AK65" s="170">
        <f t="shared" si="5"/>
        <v>3032.7</v>
      </c>
      <c r="AL65" s="270">
        <v>0</v>
      </c>
      <c r="AM65" s="170">
        <v>0</v>
      </c>
      <c r="AN65" s="270">
        <v>15</v>
      </c>
      <c r="AO65" s="170">
        <f t="shared" si="2"/>
        <v>3032.7</v>
      </c>
      <c r="AP65" s="233"/>
      <c r="AQ65" s="233"/>
      <c r="AR65" s="170">
        <v>202.18</v>
      </c>
      <c r="AS65" s="170">
        <f t="shared" si="3"/>
        <v>0</v>
      </c>
      <c r="AT65" s="233">
        <f t="shared" si="6"/>
        <v>0</v>
      </c>
      <c r="AU65" s="386">
        <f t="shared" si="4"/>
        <v>0</v>
      </c>
      <c r="AV65" s="233">
        <v>0</v>
      </c>
      <c r="AW65" s="517" t="s">
        <v>287</v>
      </c>
    </row>
    <row r="66" spans="1:49" s="62" customFormat="1" ht="27" hidden="1" customHeight="1">
      <c r="A66" s="59"/>
      <c r="B66" s="60"/>
      <c r="C66" s="60"/>
      <c r="D66" s="22"/>
      <c r="E66" s="79" t="s">
        <v>24</v>
      </c>
      <c r="F66" s="51" t="s">
        <v>65</v>
      </c>
      <c r="G66" s="275" t="s">
        <v>111</v>
      </c>
      <c r="H66" s="115" t="s">
        <v>91</v>
      </c>
      <c r="I66" s="115" t="s">
        <v>91</v>
      </c>
      <c r="J66" s="115"/>
      <c r="K66" s="115"/>
      <c r="L66" s="276"/>
      <c r="M66" s="277">
        <f t="shared" si="0"/>
        <v>0</v>
      </c>
      <c r="N66" s="276">
        <f t="shared" si="1"/>
        <v>0</v>
      </c>
      <c r="O66" s="115"/>
      <c r="P66" s="276"/>
      <c r="Q66" s="115"/>
      <c r="R66" s="276"/>
      <c r="S66" s="115"/>
      <c r="T66" s="276"/>
      <c r="U66" s="278" t="s">
        <v>133</v>
      </c>
      <c r="V66" s="115">
        <v>356</v>
      </c>
      <c r="W66" s="114">
        <v>43159</v>
      </c>
      <c r="X66" s="115" t="s">
        <v>136</v>
      </c>
      <c r="Y66" s="221">
        <v>43164</v>
      </c>
      <c r="Z66" s="115"/>
      <c r="AA66" s="115"/>
      <c r="AB66" s="22">
        <v>0</v>
      </c>
      <c r="AC66" s="170">
        <v>0</v>
      </c>
      <c r="AD66" s="208">
        <v>170</v>
      </c>
      <c r="AE66" s="170">
        <v>34370.6</v>
      </c>
      <c r="AF66" s="208"/>
      <c r="AG66" s="170"/>
      <c r="AH66" s="208"/>
      <c r="AI66" s="170"/>
      <c r="AJ66" s="233"/>
      <c r="AK66" s="170">
        <f t="shared" si="5"/>
        <v>34370.6</v>
      </c>
      <c r="AL66" s="270">
        <v>0</v>
      </c>
      <c r="AM66" s="170">
        <v>0</v>
      </c>
      <c r="AN66" s="270">
        <v>170</v>
      </c>
      <c r="AO66" s="170">
        <f t="shared" si="2"/>
        <v>34370.6</v>
      </c>
      <c r="AP66" s="233"/>
      <c r="AQ66" s="233"/>
      <c r="AR66" s="170">
        <v>202.18</v>
      </c>
      <c r="AS66" s="170">
        <f t="shared" si="3"/>
        <v>0</v>
      </c>
      <c r="AT66" s="233">
        <f t="shared" si="6"/>
        <v>0</v>
      </c>
      <c r="AU66" s="386">
        <f t="shared" si="4"/>
        <v>0</v>
      </c>
      <c r="AV66" s="233">
        <v>0</v>
      </c>
    </row>
    <row r="67" spans="1:49" s="62" customFormat="1" ht="27" customHeight="1">
      <c r="A67" s="59"/>
      <c r="B67" s="60"/>
      <c r="C67" s="137"/>
      <c r="D67" s="192"/>
      <c r="E67" s="79" t="s">
        <v>24</v>
      </c>
      <c r="F67" s="525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527" t="s">
        <v>133</v>
      </c>
      <c r="V67" s="193">
        <v>260</v>
      </c>
      <c r="W67" s="532">
        <v>43145</v>
      </c>
      <c r="X67" s="193" t="s">
        <v>94</v>
      </c>
      <c r="Y67" s="200">
        <v>43164</v>
      </c>
      <c r="Z67" s="193"/>
      <c r="AA67" s="193"/>
      <c r="AB67" s="192">
        <v>0</v>
      </c>
      <c r="AC67" s="530">
        <v>0</v>
      </c>
      <c r="AD67" s="531">
        <v>665</v>
      </c>
      <c r="AE67" s="530">
        <v>134449.70000000001</v>
      </c>
      <c r="AF67" s="531"/>
      <c r="AG67" s="530"/>
      <c r="AH67" s="531"/>
      <c r="AI67" s="530"/>
      <c r="AJ67" s="247"/>
      <c r="AK67" s="170">
        <f t="shared" si="5"/>
        <v>134449.70000000001</v>
      </c>
      <c r="AL67" s="272">
        <v>0</v>
      </c>
      <c r="AM67" s="212">
        <v>0</v>
      </c>
      <c r="AN67" s="269">
        <v>665</v>
      </c>
      <c r="AO67" s="217">
        <f t="shared" si="2"/>
        <v>134449.70000000001</v>
      </c>
      <c r="AP67" s="232"/>
      <c r="AQ67" s="229"/>
      <c r="AR67" s="212">
        <v>202.18</v>
      </c>
      <c r="AS67" s="212">
        <f t="shared" si="3"/>
        <v>0</v>
      </c>
      <c r="AT67" s="247">
        <f t="shared" si="6"/>
        <v>230</v>
      </c>
      <c r="AU67" s="249">
        <f t="shared" si="4"/>
        <v>46501.4</v>
      </c>
      <c r="AV67" s="247">
        <v>230</v>
      </c>
    </row>
    <row r="68" spans="1:49" s="62" customFormat="1" ht="26.25" hidden="1" customHeight="1">
      <c r="A68" s="59"/>
      <c r="B68" s="60"/>
      <c r="C68" s="60"/>
      <c r="D68" s="22"/>
      <c r="E68" s="79" t="s">
        <v>24</v>
      </c>
      <c r="F68" s="51" t="s">
        <v>65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124</v>
      </c>
      <c r="V68" s="115">
        <v>68</v>
      </c>
      <c r="W68" s="114">
        <v>43116</v>
      </c>
      <c r="X68" s="115" t="s">
        <v>125</v>
      </c>
      <c r="Y68" s="221">
        <v>43130</v>
      </c>
      <c r="Z68" s="115"/>
      <c r="AA68" s="115"/>
      <c r="AB68" s="22">
        <v>0</v>
      </c>
      <c r="AC68" s="170">
        <v>0</v>
      </c>
      <c r="AD68" s="208">
        <v>335</v>
      </c>
      <c r="AE68" s="170">
        <v>67730.3</v>
      </c>
      <c r="AF68" s="208"/>
      <c r="AG68" s="170"/>
      <c r="AH68" s="208"/>
      <c r="AI68" s="170"/>
      <c r="AJ68" s="233"/>
      <c r="AK68" s="170">
        <f t="shared" si="5"/>
        <v>67730.3</v>
      </c>
      <c r="AL68" s="270">
        <v>0</v>
      </c>
      <c r="AM68" s="170">
        <v>0</v>
      </c>
      <c r="AN68" s="270">
        <v>335</v>
      </c>
      <c r="AO68" s="170">
        <f t="shared" si="2"/>
        <v>67730.3</v>
      </c>
      <c r="AP68" s="233"/>
      <c r="AQ68" s="233"/>
      <c r="AR68" s="170">
        <v>202.18</v>
      </c>
      <c r="AS68" s="170">
        <f t="shared" si="3"/>
        <v>0</v>
      </c>
      <c r="AT68" s="247">
        <f t="shared" si="6"/>
        <v>0</v>
      </c>
      <c r="AU68" s="386">
        <f t="shared" si="4"/>
        <v>0</v>
      </c>
      <c r="AV68" s="233">
        <v>0</v>
      </c>
    </row>
    <row r="69" spans="1:49" s="62" customFormat="1" ht="26.25" hidden="1" customHeight="1">
      <c r="A69" s="59"/>
      <c r="B69" s="60"/>
      <c r="C69" s="60"/>
      <c r="D69" s="22"/>
      <c r="E69" s="79" t="s">
        <v>24</v>
      </c>
      <c r="F69" s="51" t="s">
        <v>65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124</v>
      </c>
      <c r="V69" s="115">
        <v>135</v>
      </c>
      <c r="W69" s="114">
        <v>42761</v>
      </c>
      <c r="X69" s="115" t="s">
        <v>126</v>
      </c>
      <c r="Y69" s="221">
        <v>43130</v>
      </c>
      <c r="Z69" s="115"/>
      <c r="AA69" s="115"/>
      <c r="AB69" s="22">
        <v>0</v>
      </c>
      <c r="AC69" s="170">
        <v>0</v>
      </c>
      <c r="AD69" s="208">
        <v>155</v>
      </c>
      <c r="AE69" s="170">
        <v>31337.9</v>
      </c>
      <c r="AF69" s="208"/>
      <c r="AG69" s="170"/>
      <c r="AH69" s="208"/>
      <c r="AI69" s="170"/>
      <c r="AJ69" s="233"/>
      <c r="AK69" s="170">
        <f t="shared" si="5"/>
        <v>31337.9</v>
      </c>
      <c r="AL69" s="270">
        <v>0</v>
      </c>
      <c r="AM69" s="170">
        <v>0</v>
      </c>
      <c r="AN69" s="270">
        <v>155</v>
      </c>
      <c r="AO69" s="170">
        <f t="shared" si="2"/>
        <v>31337.9</v>
      </c>
      <c r="AP69" s="233"/>
      <c r="AQ69" s="233"/>
      <c r="AR69" s="170">
        <v>202.18</v>
      </c>
      <c r="AS69" s="170">
        <f t="shared" si="3"/>
        <v>0</v>
      </c>
      <c r="AT69" s="247">
        <f t="shared" si="6"/>
        <v>0</v>
      </c>
      <c r="AU69" s="386">
        <f t="shared" si="4"/>
        <v>0</v>
      </c>
      <c r="AV69" s="233">
        <v>0</v>
      </c>
    </row>
    <row r="70" spans="1:49" s="62" customFormat="1" ht="26.25" customHeight="1">
      <c r="A70" s="59"/>
      <c r="B70" s="60"/>
      <c r="C70" s="60"/>
      <c r="D70" s="22"/>
      <c r="E70" s="79" t="s">
        <v>24</v>
      </c>
      <c r="F70" s="51" t="s">
        <v>65</v>
      </c>
      <c r="G70" s="275" t="s">
        <v>111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/>
      <c r="P70" s="276"/>
      <c r="Q70" s="115"/>
      <c r="R70" s="276"/>
      <c r="S70" s="115"/>
      <c r="T70" s="276"/>
      <c r="U70" s="278" t="s">
        <v>132</v>
      </c>
      <c r="V70" s="115">
        <v>108</v>
      </c>
      <c r="W70" s="114">
        <v>43119</v>
      </c>
      <c r="X70" s="115" t="s">
        <v>131</v>
      </c>
      <c r="Y70" s="221">
        <v>43130</v>
      </c>
      <c r="Z70" s="115"/>
      <c r="AA70" s="115"/>
      <c r="AB70" s="22">
        <v>0</v>
      </c>
      <c r="AC70" s="170">
        <v>0</v>
      </c>
      <c r="AD70" s="208">
        <v>340</v>
      </c>
      <c r="AE70" s="170">
        <v>68741.2</v>
      </c>
      <c r="AF70" s="208"/>
      <c r="AG70" s="170"/>
      <c r="AH70" s="208"/>
      <c r="AI70" s="170"/>
      <c r="AJ70" s="233"/>
      <c r="AK70" s="170">
        <f t="shared" si="5"/>
        <v>68741.2</v>
      </c>
      <c r="AL70" s="270">
        <v>0</v>
      </c>
      <c r="AM70" s="170">
        <v>0</v>
      </c>
      <c r="AN70" s="270">
        <v>340</v>
      </c>
      <c r="AO70" s="170">
        <f t="shared" si="2"/>
        <v>68741.2</v>
      </c>
      <c r="AP70" s="233"/>
      <c r="AQ70" s="233"/>
      <c r="AR70" s="170">
        <v>202.18</v>
      </c>
      <c r="AS70" s="170">
        <f t="shared" si="3"/>
        <v>0</v>
      </c>
      <c r="AT70" s="233">
        <f t="shared" si="6"/>
        <v>0</v>
      </c>
      <c r="AU70" s="386">
        <f t="shared" si="4"/>
        <v>0</v>
      </c>
      <c r="AV70" s="233">
        <v>0</v>
      </c>
    </row>
    <row r="71" spans="1:49" s="62" customFormat="1" ht="26.25" customHeight="1">
      <c r="A71" s="59"/>
      <c r="B71" s="60"/>
      <c r="C71" s="137"/>
      <c r="D71" s="192"/>
      <c r="E71" s="79" t="s">
        <v>24</v>
      </c>
      <c r="F71" s="525" t="s">
        <v>65</v>
      </c>
      <c r="G71" s="222" t="s">
        <v>111</v>
      </c>
      <c r="H71" s="193" t="s">
        <v>91</v>
      </c>
      <c r="I71" s="193" t="s">
        <v>91</v>
      </c>
      <c r="J71" s="193"/>
      <c r="K71" s="193"/>
      <c r="L71" s="243"/>
      <c r="M71" s="242">
        <f t="shared" si="0"/>
        <v>0</v>
      </c>
      <c r="N71" s="243">
        <f t="shared" si="1"/>
        <v>0</v>
      </c>
      <c r="O71" s="193"/>
      <c r="P71" s="243"/>
      <c r="Q71" s="193"/>
      <c r="R71" s="243"/>
      <c r="S71" s="193"/>
      <c r="T71" s="243"/>
      <c r="U71" s="527" t="s">
        <v>161</v>
      </c>
      <c r="V71" s="193">
        <v>659</v>
      </c>
      <c r="W71" s="532">
        <v>43201</v>
      </c>
      <c r="X71" s="193" t="s">
        <v>159</v>
      </c>
      <c r="Y71" s="200">
        <v>43213</v>
      </c>
      <c r="Z71" s="193" t="s">
        <v>160</v>
      </c>
      <c r="AA71" s="200">
        <v>43255</v>
      </c>
      <c r="AB71" s="192">
        <v>0</v>
      </c>
      <c r="AC71" s="530">
        <v>0</v>
      </c>
      <c r="AD71" s="531">
        <v>245</v>
      </c>
      <c r="AE71" s="530">
        <v>49534.1</v>
      </c>
      <c r="AF71" s="531"/>
      <c r="AG71" s="530"/>
      <c r="AH71" s="531"/>
      <c r="AI71" s="530"/>
      <c r="AJ71" s="247"/>
      <c r="AK71" s="170">
        <f t="shared" si="5"/>
        <v>49534.1</v>
      </c>
      <c r="AL71" s="272">
        <v>0</v>
      </c>
      <c r="AM71" s="212">
        <v>0</v>
      </c>
      <c r="AN71" s="269">
        <v>245</v>
      </c>
      <c r="AO71" s="217">
        <f t="shared" si="2"/>
        <v>49534.1</v>
      </c>
      <c r="AP71" s="232"/>
      <c r="AQ71" s="229"/>
      <c r="AR71" s="212">
        <v>202.18</v>
      </c>
      <c r="AS71" s="212">
        <f t="shared" si="3"/>
        <v>0</v>
      </c>
      <c r="AT71" s="247">
        <f t="shared" si="6"/>
        <v>245</v>
      </c>
      <c r="AU71" s="228">
        <f t="shared" si="4"/>
        <v>49534.1</v>
      </c>
      <c r="AV71" s="247">
        <v>245</v>
      </c>
    </row>
    <row r="72" spans="1:49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161</v>
      </c>
      <c r="V72" s="115">
        <v>834</v>
      </c>
      <c r="W72" s="114">
        <v>43222</v>
      </c>
      <c r="X72" s="193" t="s">
        <v>162</v>
      </c>
      <c r="Y72" s="200">
        <v>43242</v>
      </c>
      <c r="Z72" s="193"/>
      <c r="AA72" s="193"/>
      <c r="AB72" s="22">
        <v>0</v>
      </c>
      <c r="AC72" s="170">
        <v>0</v>
      </c>
      <c r="AD72" s="209">
        <v>555</v>
      </c>
      <c r="AE72" s="194">
        <v>112209.9</v>
      </c>
      <c r="AF72" s="209"/>
      <c r="AG72" s="194"/>
      <c r="AH72" s="209"/>
      <c r="AI72" s="194"/>
      <c r="AJ72" s="232"/>
      <c r="AK72" s="170">
        <f t="shared" si="5"/>
        <v>112209.9</v>
      </c>
      <c r="AL72" s="272">
        <v>0</v>
      </c>
      <c r="AM72" s="212">
        <v>0</v>
      </c>
      <c r="AN72" s="269">
        <v>555</v>
      </c>
      <c r="AO72" s="217">
        <f t="shared" si="2"/>
        <v>112209.9</v>
      </c>
      <c r="AP72" s="232"/>
      <c r="AQ72" s="229"/>
      <c r="AR72" s="212">
        <v>202.18</v>
      </c>
      <c r="AS72" s="212">
        <f t="shared" si="3"/>
        <v>0</v>
      </c>
      <c r="AT72" s="247">
        <f t="shared" si="6"/>
        <v>495</v>
      </c>
      <c r="AU72" s="228">
        <f t="shared" si="4"/>
        <v>100079.1</v>
      </c>
      <c r="AV72" s="279">
        <v>495</v>
      </c>
    </row>
    <row r="73" spans="1:49" s="62" customFormat="1" ht="26.25" hidden="1" customHeight="1">
      <c r="A73" s="59"/>
      <c r="B73" s="60"/>
      <c r="C73" s="60"/>
      <c r="D73" s="22"/>
      <c r="E73" s="79" t="s">
        <v>24</v>
      </c>
      <c r="F73" s="51" t="s">
        <v>65</v>
      </c>
      <c r="G73" s="275" t="s">
        <v>111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/>
      <c r="P73" s="276"/>
      <c r="Q73" s="115"/>
      <c r="R73" s="276"/>
      <c r="S73" s="115"/>
      <c r="T73" s="276"/>
      <c r="U73" s="278" t="s">
        <v>175</v>
      </c>
      <c r="V73" s="115">
        <v>1006</v>
      </c>
      <c r="W73" s="114">
        <v>43244</v>
      </c>
      <c r="X73" s="115" t="s">
        <v>179</v>
      </c>
      <c r="Y73" s="221">
        <v>43285</v>
      </c>
      <c r="Z73" s="115"/>
      <c r="AA73" s="115"/>
      <c r="AB73" s="22">
        <v>0</v>
      </c>
      <c r="AC73" s="170">
        <v>0</v>
      </c>
      <c r="AD73" s="208">
        <v>45</v>
      </c>
      <c r="AE73" s="170">
        <v>8820</v>
      </c>
      <c r="AF73" s="208"/>
      <c r="AG73" s="170"/>
      <c r="AH73" s="208"/>
      <c r="AI73" s="170"/>
      <c r="AJ73" s="233"/>
      <c r="AK73" s="170">
        <f t="shared" si="5"/>
        <v>8820</v>
      </c>
      <c r="AL73" s="270">
        <v>0</v>
      </c>
      <c r="AM73" s="170">
        <v>0</v>
      </c>
      <c r="AN73" s="270">
        <v>45</v>
      </c>
      <c r="AO73" s="170">
        <f t="shared" si="2"/>
        <v>8820</v>
      </c>
      <c r="AP73" s="233"/>
      <c r="AQ73" s="233"/>
      <c r="AR73" s="170">
        <v>196</v>
      </c>
      <c r="AS73" s="170">
        <f t="shared" si="3"/>
        <v>0</v>
      </c>
      <c r="AT73" s="247">
        <f t="shared" si="6"/>
        <v>0</v>
      </c>
      <c r="AU73" s="386">
        <f t="shared" si="4"/>
        <v>0</v>
      </c>
      <c r="AV73" s="233">
        <v>0</v>
      </c>
    </row>
    <row r="74" spans="1:49" s="62" customFormat="1" ht="26.25" hidden="1" customHeight="1">
      <c r="A74" s="59"/>
      <c r="B74" s="60"/>
      <c r="C74" s="60"/>
      <c r="D74" s="22"/>
      <c r="E74" s="79" t="s">
        <v>24</v>
      </c>
      <c r="F74" s="51" t="s">
        <v>65</v>
      </c>
      <c r="G74" s="275" t="s">
        <v>111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175</v>
      </c>
      <c r="V74" s="115">
        <v>1006</v>
      </c>
      <c r="W74" s="114">
        <v>43244</v>
      </c>
      <c r="X74" s="115" t="s">
        <v>179</v>
      </c>
      <c r="Y74" s="221">
        <v>43285</v>
      </c>
      <c r="Z74" s="115"/>
      <c r="AA74" s="115"/>
      <c r="AB74" s="22">
        <v>0</v>
      </c>
      <c r="AC74" s="170">
        <v>0</v>
      </c>
      <c r="AD74" s="208">
        <v>55</v>
      </c>
      <c r="AE74" s="170">
        <v>11119.9</v>
      </c>
      <c r="AF74" s="208"/>
      <c r="AG74" s="170"/>
      <c r="AH74" s="208"/>
      <c r="AI74" s="170"/>
      <c r="AJ74" s="233"/>
      <c r="AK74" s="170">
        <f t="shared" si="5"/>
        <v>11119.9</v>
      </c>
      <c r="AL74" s="270">
        <v>0</v>
      </c>
      <c r="AM74" s="170">
        <v>0</v>
      </c>
      <c r="AN74" s="270">
        <v>55</v>
      </c>
      <c r="AO74" s="170">
        <f t="shared" si="2"/>
        <v>11119.9</v>
      </c>
      <c r="AP74" s="233"/>
      <c r="AQ74" s="233"/>
      <c r="AR74" s="170">
        <v>202.18</v>
      </c>
      <c r="AS74" s="170">
        <f t="shared" si="3"/>
        <v>0</v>
      </c>
      <c r="AT74" s="247">
        <f t="shared" si="6"/>
        <v>0</v>
      </c>
      <c r="AU74" s="386">
        <f t="shared" si="4"/>
        <v>0</v>
      </c>
      <c r="AV74" s="233">
        <v>0</v>
      </c>
    </row>
    <row r="75" spans="1:49" s="62" customFormat="1" ht="26.25" customHeight="1">
      <c r="A75" s="59"/>
      <c r="B75" s="60"/>
      <c r="C75" s="60"/>
      <c r="D75" s="22"/>
      <c r="E75" s="79" t="s">
        <v>24</v>
      </c>
      <c r="F75" s="53" t="s">
        <v>65</v>
      </c>
      <c r="G75" s="222" t="s">
        <v>111</v>
      </c>
      <c r="H75" s="193" t="s">
        <v>91</v>
      </c>
      <c r="I75" s="193" t="s">
        <v>91</v>
      </c>
      <c r="J75" s="193"/>
      <c r="K75" s="193"/>
      <c r="L75" s="243"/>
      <c r="M75" s="242">
        <f t="shared" si="0"/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175</v>
      </c>
      <c r="V75" s="115">
        <v>877</v>
      </c>
      <c r="W75" s="114">
        <v>43230</v>
      </c>
      <c r="X75" s="193" t="s">
        <v>174</v>
      </c>
      <c r="Y75" s="200">
        <v>43285</v>
      </c>
      <c r="Z75" s="193"/>
      <c r="AA75" s="193"/>
      <c r="AB75" s="22">
        <v>0</v>
      </c>
      <c r="AC75" s="170">
        <v>0</v>
      </c>
      <c r="AD75" s="209">
        <v>210</v>
      </c>
      <c r="AE75" s="194">
        <v>42457.8</v>
      </c>
      <c r="AF75" s="209"/>
      <c r="AG75" s="194"/>
      <c r="AH75" s="209"/>
      <c r="AI75" s="194"/>
      <c r="AJ75" s="232"/>
      <c r="AK75" s="170">
        <f t="shared" si="5"/>
        <v>42457.8</v>
      </c>
      <c r="AL75" s="272">
        <v>0</v>
      </c>
      <c r="AM75" s="212">
        <v>0</v>
      </c>
      <c r="AN75" s="269">
        <v>210</v>
      </c>
      <c r="AO75" s="217">
        <f t="shared" si="2"/>
        <v>42457.8</v>
      </c>
      <c r="AP75" s="232"/>
      <c r="AQ75" s="229"/>
      <c r="AR75" s="212">
        <v>202.18</v>
      </c>
      <c r="AS75" s="212">
        <f t="shared" si="3"/>
        <v>0</v>
      </c>
      <c r="AT75" s="247">
        <f t="shared" si="6"/>
        <v>210</v>
      </c>
      <c r="AU75" s="228">
        <f t="shared" si="4"/>
        <v>42457.8</v>
      </c>
      <c r="AV75" s="279">
        <v>210</v>
      </c>
    </row>
    <row r="76" spans="1:49" s="62" customFormat="1" ht="26.25" customHeight="1">
      <c r="A76" s="59"/>
      <c r="B76" s="60"/>
      <c r="C76" s="60"/>
      <c r="D76" s="22"/>
      <c r="E76" s="79" t="s">
        <v>24</v>
      </c>
      <c r="F76" s="53" t="s">
        <v>65</v>
      </c>
      <c r="G76" s="222" t="s">
        <v>111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161</v>
      </c>
      <c r="V76" s="115">
        <v>1053</v>
      </c>
      <c r="W76" s="114">
        <v>43255</v>
      </c>
      <c r="X76" s="193" t="s">
        <v>177</v>
      </c>
      <c r="Y76" s="200">
        <v>43285</v>
      </c>
      <c r="Z76" s="193" t="s">
        <v>178</v>
      </c>
      <c r="AA76" s="200">
        <v>43269</v>
      </c>
      <c r="AB76" s="22">
        <v>0</v>
      </c>
      <c r="AC76" s="170">
        <v>0</v>
      </c>
      <c r="AD76" s="209">
        <v>105</v>
      </c>
      <c r="AE76" s="194">
        <v>21228.9</v>
      </c>
      <c r="AF76" s="209"/>
      <c r="AG76" s="194"/>
      <c r="AH76" s="209"/>
      <c r="AI76" s="194"/>
      <c r="AJ76" s="232"/>
      <c r="AK76" s="170">
        <f t="shared" si="5"/>
        <v>21228.9</v>
      </c>
      <c r="AL76" s="272">
        <v>0</v>
      </c>
      <c r="AM76" s="212">
        <v>0</v>
      </c>
      <c r="AN76" s="269">
        <v>105</v>
      </c>
      <c r="AO76" s="217">
        <f t="shared" si="2"/>
        <v>21228.9</v>
      </c>
      <c r="AP76" s="232"/>
      <c r="AQ76" s="229"/>
      <c r="AR76" s="212">
        <v>202.18</v>
      </c>
      <c r="AS76" s="212">
        <f t="shared" si="3"/>
        <v>0</v>
      </c>
      <c r="AT76" s="247">
        <f t="shared" si="6"/>
        <v>105</v>
      </c>
      <c r="AU76" s="228">
        <f t="shared" si="4"/>
        <v>21228.9</v>
      </c>
      <c r="AV76" s="279">
        <v>105</v>
      </c>
    </row>
    <row r="77" spans="1:49" s="62" customFormat="1" ht="26.25" customHeight="1">
      <c r="A77" s="59"/>
      <c r="B77" s="60"/>
      <c r="C77" s="60"/>
      <c r="D77" s="22"/>
      <c r="E77" s="79" t="s">
        <v>24</v>
      </c>
      <c r="F77" s="53" t="s">
        <v>65</v>
      </c>
      <c r="G77" s="222" t="s">
        <v>111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187</v>
      </c>
      <c r="V77" s="115">
        <v>1418</v>
      </c>
      <c r="W77" s="114">
        <v>43312</v>
      </c>
      <c r="X77" s="193" t="s">
        <v>184</v>
      </c>
      <c r="Y77" s="200">
        <v>43332</v>
      </c>
      <c r="Z77" s="193" t="s">
        <v>185</v>
      </c>
      <c r="AA77" s="200">
        <v>43320</v>
      </c>
      <c r="AB77" s="22">
        <v>0</v>
      </c>
      <c r="AC77" s="170">
        <v>0</v>
      </c>
      <c r="AD77" s="209">
        <v>30</v>
      </c>
      <c r="AE77" s="194">
        <v>5880</v>
      </c>
      <c r="AF77" s="209"/>
      <c r="AG77" s="194"/>
      <c r="AH77" s="209"/>
      <c r="AI77" s="194"/>
      <c r="AJ77" s="232"/>
      <c r="AK77" s="170">
        <f t="shared" si="5"/>
        <v>5880</v>
      </c>
      <c r="AL77" s="272">
        <v>0</v>
      </c>
      <c r="AM77" s="212">
        <v>0</v>
      </c>
      <c r="AN77" s="269">
        <v>30</v>
      </c>
      <c r="AO77" s="217">
        <v>0</v>
      </c>
      <c r="AP77" s="232"/>
      <c r="AQ77" s="229"/>
      <c r="AR77" s="212">
        <v>196</v>
      </c>
      <c r="AS77" s="212">
        <f t="shared" si="3"/>
        <v>0</v>
      </c>
      <c r="AT77" s="247">
        <f t="shared" si="6"/>
        <v>30</v>
      </c>
      <c r="AU77" s="228">
        <f t="shared" si="4"/>
        <v>5880</v>
      </c>
      <c r="AV77" s="279">
        <v>30</v>
      </c>
    </row>
    <row r="78" spans="1:49" s="62" customFormat="1" ht="26.25" customHeight="1">
      <c r="A78" s="59"/>
      <c r="B78" s="60"/>
      <c r="C78" s="60"/>
      <c r="D78" s="22"/>
      <c r="E78" s="79"/>
      <c r="F78" s="53" t="s">
        <v>65</v>
      </c>
      <c r="G78" s="222" t="s">
        <v>111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/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/>
      <c r="AK78" s="170"/>
      <c r="AL78" s="272"/>
      <c r="AM78" s="212"/>
      <c r="AN78" s="269"/>
      <c r="AO78" s="217"/>
      <c r="AP78" s="232"/>
      <c r="AQ78" s="229"/>
      <c r="AR78" s="212"/>
      <c r="AS78" s="212"/>
      <c r="AT78" s="247">
        <f t="shared" si="6"/>
        <v>30</v>
      </c>
      <c r="AU78" s="228"/>
      <c r="AV78" s="279">
        <v>30</v>
      </c>
    </row>
    <row r="79" spans="1:49" s="62" customFormat="1" ht="26.25" hidden="1" customHeight="1">
      <c r="A79" s="59"/>
      <c r="B79" s="60"/>
      <c r="C79" s="60"/>
      <c r="D79" s="22"/>
      <c r="E79" s="79" t="s">
        <v>24</v>
      </c>
      <c r="F79" s="51" t="s">
        <v>249</v>
      </c>
      <c r="G79" s="275" t="s">
        <v>146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>
        <v>250</v>
      </c>
      <c r="P79" s="276">
        <v>66042.58</v>
      </c>
      <c r="Q79" s="115"/>
      <c r="R79" s="276"/>
      <c r="S79" s="115"/>
      <c r="T79" s="276"/>
      <c r="U79" s="278" t="s">
        <v>181</v>
      </c>
      <c r="V79" s="115">
        <v>1405</v>
      </c>
      <c r="W79" s="114">
        <v>43052</v>
      </c>
      <c r="X79" s="115" t="s">
        <v>182</v>
      </c>
      <c r="Y79" s="221">
        <v>43201</v>
      </c>
      <c r="Z79" s="115"/>
      <c r="AA79" s="115"/>
      <c r="AB79" s="22">
        <v>0</v>
      </c>
      <c r="AC79" s="170">
        <v>0</v>
      </c>
      <c r="AD79" s="208">
        <v>125</v>
      </c>
      <c r="AE79" s="170">
        <v>26255</v>
      </c>
      <c r="AF79" s="208"/>
      <c r="AG79" s="170"/>
      <c r="AH79" s="208"/>
      <c r="AI79" s="170"/>
      <c r="AJ79" s="232"/>
      <c r="AK79" s="170">
        <f t="shared" si="5"/>
        <v>26255</v>
      </c>
      <c r="AL79" s="270">
        <f>63+62</f>
        <v>125</v>
      </c>
      <c r="AM79" s="170">
        <v>26255</v>
      </c>
      <c r="AN79" s="270">
        <v>0</v>
      </c>
      <c r="AO79" s="170">
        <f t="shared" si="2"/>
        <v>0</v>
      </c>
      <c r="AP79" s="233"/>
      <c r="AQ79" s="233"/>
      <c r="AR79" s="170">
        <v>210.04</v>
      </c>
      <c r="AS79" s="170">
        <f t="shared" si="3"/>
        <v>0</v>
      </c>
      <c r="AT79" s="247">
        <f t="shared" si="6"/>
        <v>0</v>
      </c>
      <c r="AU79" s="170">
        <f t="shared" si="4"/>
        <v>0</v>
      </c>
      <c r="AV79" s="233">
        <v>0</v>
      </c>
    </row>
    <row r="80" spans="1:49" s="62" customFormat="1" ht="26.25" hidden="1" customHeight="1">
      <c r="A80" s="59"/>
      <c r="B80" s="60"/>
      <c r="C80" s="60"/>
      <c r="D80" s="22"/>
      <c r="E80" s="79" t="s">
        <v>24</v>
      </c>
      <c r="F80" s="51" t="s">
        <v>249</v>
      </c>
      <c r="G80" s="275" t="s">
        <v>146</v>
      </c>
      <c r="H80" s="115" t="s">
        <v>91</v>
      </c>
      <c r="I80" s="115" t="s">
        <v>91</v>
      </c>
      <c r="J80" s="115"/>
      <c r="K80" s="115"/>
      <c r="L80" s="276"/>
      <c r="M80" s="277">
        <f t="shared" si="0"/>
        <v>0</v>
      </c>
      <c r="N80" s="276">
        <f t="shared" si="1"/>
        <v>0</v>
      </c>
      <c r="O80" s="115"/>
      <c r="P80" s="276"/>
      <c r="Q80" s="115"/>
      <c r="R80" s="276"/>
      <c r="S80" s="115"/>
      <c r="T80" s="276"/>
      <c r="U80" s="278" t="s">
        <v>145</v>
      </c>
      <c r="V80" s="115">
        <v>1381</v>
      </c>
      <c r="W80" s="114">
        <v>43047</v>
      </c>
      <c r="X80" s="115" t="s">
        <v>144</v>
      </c>
      <c r="Y80" s="221">
        <v>43201</v>
      </c>
      <c r="Z80" s="115"/>
      <c r="AA80" s="115"/>
      <c r="AB80" s="22">
        <v>0</v>
      </c>
      <c r="AC80" s="170">
        <v>0</v>
      </c>
      <c r="AD80" s="208">
        <v>80</v>
      </c>
      <c r="AE80" s="170">
        <v>16803.2</v>
      </c>
      <c r="AF80" s="208"/>
      <c r="AG80" s="170"/>
      <c r="AH80" s="208"/>
      <c r="AI80" s="170"/>
      <c r="AJ80" s="232"/>
      <c r="AK80" s="170">
        <f t="shared" si="5"/>
        <v>16803.2</v>
      </c>
      <c r="AL80" s="270">
        <v>80</v>
      </c>
      <c r="AM80" s="170">
        <v>16803.2</v>
      </c>
      <c r="AN80" s="270">
        <v>0</v>
      </c>
      <c r="AO80" s="170">
        <f t="shared" si="2"/>
        <v>0</v>
      </c>
      <c r="AP80" s="233"/>
      <c r="AQ80" s="233"/>
      <c r="AR80" s="170">
        <f>AM80/AL80</f>
        <v>210.04000000000002</v>
      </c>
      <c r="AS80" s="170">
        <f t="shared" si="3"/>
        <v>0</v>
      </c>
      <c r="AT80" s="247">
        <f t="shared" si="6"/>
        <v>0</v>
      </c>
      <c r="AU80" s="170">
        <f t="shared" si="4"/>
        <v>0</v>
      </c>
      <c r="AV80" s="233">
        <v>0</v>
      </c>
    </row>
    <row r="81" spans="1:48" s="62" customFormat="1" ht="26.25" hidden="1" customHeight="1">
      <c r="A81" s="59"/>
      <c r="B81" s="60"/>
      <c r="C81" s="60"/>
      <c r="D81" s="22"/>
      <c r="E81" s="79" t="s">
        <v>24</v>
      </c>
      <c r="F81" s="51" t="s">
        <v>249</v>
      </c>
      <c r="G81" s="275" t="s">
        <v>146</v>
      </c>
      <c r="H81" s="115" t="s">
        <v>91</v>
      </c>
      <c r="I81" s="115" t="s">
        <v>91</v>
      </c>
      <c r="J81" s="115"/>
      <c r="K81" s="115"/>
      <c r="L81" s="276"/>
      <c r="M81" s="277">
        <f t="shared" si="0"/>
        <v>0</v>
      </c>
      <c r="N81" s="276">
        <f t="shared" si="1"/>
        <v>0</v>
      </c>
      <c r="O81" s="115"/>
      <c r="P81" s="276"/>
      <c r="Q81" s="115"/>
      <c r="R81" s="276"/>
      <c r="S81" s="115"/>
      <c r="T81" s="276"/>
      <c r="U81" s="278" t="s">
        <v>148</v>
      </c>
      <c r="V81" s="115">
        <v>546</v>
      </c>
      <c r="W81" s="114">
        <v>43182</v>
      </c>
      <c r="X81" s="115" t="s">
        <v>149</v>
      </c>
      <c r="Y81" s="221">
        <v>43201</v>
      </c>
      <c r="Z81" s="115" t="s">
        <v>147</v>
      </c>
      <c r="AA81" s="221">
        <v>43252</v>
      </c>
      <c r="AB81" s="22">
        <v>0</v>
      </c>
      <c r="AC81" s="170">
        <v>0</v>
      </c>
      <c r="AD81" s="208">
        <v>10</v>
      </c>
      <c r="AE81" s="170">
        <v>2038.7</v>
      </c>
      <c r="AF81" s="208"/>
      <c r="AG81" s="170"/>
      <c r="AH81" s="208"/>
      <c r="AI81" s="170"/>
      <c r="AJ81" s="232"/>
      <c r="AK81" s="170">
        <f t="shared" si="5"/>
        <v>2038.7</v>
      </c>
      <c r="AL81" s="270">
        <v>10</v>
      </c>
      <c r="AM81" s="170">
        <v>2038.7</v>
      </c>
      <c r="AN81" s="270">
        <v>0</v>
      </c>
      <c r="AO81" s="170">
        <f t="shared" si="2"/>
        <v>0</v>
      </c>
      <c r="AP81" s="233"/>
      <c r="AQ81" s="233"/>
      <c r="AR81" s="170">
        <f>AM81/AL81</f>
        <v>203.87</v>
      </c>
      <c r="AS81" s="170">
        <f t="shared" si="3"/>
        <v>0</v>
      </c>
      <c r="AT81" s="247">
        <f t="shared" si="6"/>
        <v>0</v>
      </c>
      <c r="AU81" s="170">
        <f t="shared" si="4"/>
        <v>0</v>
      </c>
      <c r="AV81" s="233">
        <v>0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51" t="s">
        <v>250</v>
      </c>
      <c r="G82" s="275" t="s">
        <v>140</v>
      </c>
      <c r="H82" s="115" t="s">
        <v>91</v>
      </c>
      <c r="I82" s="115" t="s">
        <v>91</v>
      </c>
      <c r="J82" s="115">
        <v>1080</v>
      </c>
      <c r="K82" s="115">
        <v>2</v>
      </c>
      <c r="L82" s="276">
        <v>304.58999999999997</v>
      </c>
      <c r="M82" s="277">
        <f t="shared" si="0"/>
        <v>2160</v>
      </c>
      <c r="N82" s="276">
        <f t="shared" si="1"/>
        <v>657914.39999999991</v>
      </c>
      <c r="O82" s="115">
        <v>180</v>
      </c>
      <c r="P82" s="276">
        <v>49908.6</v>
      </c>
      <c r="Q82" s="115">
        <v>1080</v>
      </c>
      <c r="R82" s="276">
        <v>323838</v>
      </c>
      <c r="S82" s="115">
        <v>602</v>
      </c>
      <c r="T82" s="276">
        <v>183363.18</v>
      </c>
      <c r="U82" s="278" t="s">
        <v>139</v>
      </c>
      <c r="V82" s="115">
        <v>427</v>
      </c>
      <c r="W82" s="114">
        <v>43164</v>
      </c>
      <c r="X82" s="115" t="s">
        <v>138</v>
      </c>
      <c r="Y82" s="221">
        <v>43164</v>
      </c>
      <c r="Z82" s="115"/>
      <c r="AA82" s="115"/>
      <c r="AB82" s="22">
        <v>0</v>
      </c>
      <c r="AC82" s="170">
        <v>0</v>
      </c>
      <c r="AD82" s="208">
        <v>56</v>
      </c>
      <c r="AE82" s="170">
        <v>16794.400000000001</v>
      </c>
      <c r="AF82" s="208"/>
      <c r="AG82" s="170"/>
      <c r="AH82" s="208"/>
      <c r="AI82" s="170"/>
      <c r="AJ82" s="232"/>
      <c r="AK82" s="170">
        <f t="shared" si="5"/>
        <v>16794.400000000001</v>
      </c>
      <c r="AL82" s="270">
        <v>0</v>
      </c>
      <c r="AM82" s="170">
        <v>0</v>
      </c>
      <c r="AN82" s="270">
        <v>56</v>
      </c>
      <c r="AO82" s="170">
        <f t="shared" si="2"/>
        <v>16794.400000000001</v>
      </c>
      <c r="AP82" s="233"/>
      <c r="AQ82" s="233"/>
      <c r="AR82" s="170">
        <v>299.89999999999998</v>
      </c>
      <c r="AS82" s="170">
        <f t="shared" si="3"/>
        <v>0</v>
      </c>
      <c r="AT82" s="247">
        <f t="shared" si="6"/>
        <v>0</v>
      </c>
      <c r="AU82" s="386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51" t="s">
        <v>247</v>
      </c>
      <c r="G83" s="275" t="s">
        <v>114</v>
      </c>
      <c r="H83" s="115"/>
      <c r="I83" s="115"/>
      <c r="J83" s="115"/>
      <c r="K83" s="115"/>
      <c r="L83" s="276"/>
      <c r="M83" s="277"/>
      <c r="N83" s="276"/>
      <c r="O83" s="115"/>
      <c r="P83" s="276"/>
      <c r="Q83" s="115"/>
      <c r="R83" s="276"/>
      <c r="S83" s="115"/>
      <c r="T83" s="276"/>
      <c r="U83" s="278" t="s">
        <v>263</v>
      </c>
      <c r="V83" s="115"/>
      <c r="W83" s="114"/>
      <c r="X83" s="115"/>
      <c r="Y83" s="221"/>
      <c r="Z83" s="115"/>
      <c r="AA83" s="115"/>
      <c r="AB83" s="22"/>
      <c r="AC83" s="170"/>
      <c r="AD83" s="208"/>
      <c r="AE83" s="170"/>
      <c r="AF83" s="208"/>
      <c r="AG83" s="170"/>
      <c r="AH83" s="208"/>
      <c r="AI83" s="170"/>
      <c r="AJ83" s="233">
        <v>36</v>
      </c>
      <c r="AK83" s="170"/>
      <c r="AL83" s="270"/>
      <c r="AM83" s="170"/>
      <c r="AN83" s="270"/>
      <c r="AO83" s="170"/>
      <c r="AP83" s="233"/>
      <c r="AQ83" s="233"/>
      <c r="AR83" s="170"/>
      <c r="AS83" s="170"/>
      <c r="AT83" s="233">
        <f t="shared" si="6"/>
        <v>0</v>
      </c>
      <c r="AU83" s="386"/>
      <c r="AV83" s="233">
        <v>0</v>
      </c>
    </row>
    <row r="84" spans="1:48" s="62" customFormat="1" ht="25.5" customHeight="1">
      <c r="A84" s="59"/>
      <c r="B84" s="60"/>
      <c r="C84" s="60"/>
      <c r="D84" s="22"/>
      <c r="E84" s="79"/>
      <c r="F84" s="51" t="s">
        <v>247</v>
      </c>
      <c r="G84" s="275" t="s">
        <v>114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278" t="s">
        <v>262</v>
      </c>
      <c r="V84" s="115"/>
      <c r="W84" s="114"/>
      <c r="X84" s="115"/>
      <c r="Y84" s="221"/>
      <c r="Z84" s="115"/>
      <c r="AA84" s="115"/>
      <c r="AB84" s="22"/>
      <c r="AC84" s="170"/>
      <c r="AD84" s="208"/>
      <c r="AE84" s="170"/>
      <c r="AF84" s="208"/>
      <c r="AG84" s="170"/>
      <c r="AH84" s="208"/>
      <c r="AI84" s="170"/>
      <c r="AJ84" s="233">
        <v>234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33">
        <f t="shared" si="6"/>
        <v>0</v>
      </c>
      <c r="AU84" s="386"/>
      <c r="AV84" s="233">
        <v>0</v>
      </c>
    </row>
    <row r="85" spans="1:48" s="62" customFormat="1" ht="25.5" customHeight="1">
      <c r="A85" s="59"/>
      <c r="B85" s="60"/>
      <c r="C85" s="60"/>
      <c r="D85" s="22"/>
      <c r="E85" s="79"/>
      <c r="F85" s="51" t="s">
        <v>247</v>
      </c>
      <c r="G85" s="275" t="s">
        <v>114</v>
      </c>
      <c r="H85" s="115"/>
      <c r="I85" s="115"/>
      <c r="J85" s="115"/>
      <c r="K85" s="115"/>
      <c r="L85" s="276"/>
      <c r="M85" s="277"/>
      <c r="N85" s="276"/>
      <c r="O85" s="115"/>
      <c r="P85" s="276"/>
      <c r="Q85" s="115"/>
      <c r="R85" s="276"/>
      <c r="S85" s="115"/>
      <c r="T85" s="276"/>
      <c r="U85" s="278" t="s">
        <v>263</v>
      </c>
      <c r="V85" s="115"/>
      <c r="W85" s="114"/>
      <c r="X85" s="115"/>
      <c r="Y85" s="221"/>
      <c r="Z85" s="115"/>
      <c r="AA85" s="115"/>
      <c r="AB85" s="22"/>
      <c r="AC85" s="170"/>
      <c r="AD85" s="208"/>
      <c r="AE85" s="170"/>
      <c r="AF85" s="208"/>
      <c r="AG85" s="170"/>
      <c r="AH85" s="208"/>
      <c r="AI85" s="170"/>
      <c r="AJ85" s="233">
        <v>14</v>
      </c>
      <c r="AK85" s="170"/>
      <c r="AL85" s="270"/>
      <c r="AM85" s="170"/>
      <c r="AN85" s="270"/>
      <c r="AO85" s="170"/>
      <c r="AP85" s="233"/>
      <c r="AQ85" s="233"/>
      <c r="AR85" s="170"/>
      <c r="AS85" s="170"/>
      <c r="AT85" s="233">
        <f t="shared" si="6"/>
        <v>0</v>
      </c>
      <c r="AU85" s="386"/>
      <c r="AV85" s="233">
        <v>0</v>
      </c>
    </row>
    <row r="86" spans="1:48" s="62" customFormat="1" ht="25.5" customHeight="1">
      <c r="A86" s="59"/>
      <c r="B86" s="60"/>
      <c r="C86" s="60"/>
      <c r="D86" s="22"/>
      <c r="E86" s="79"/>
      <c r="F86" s="140" t="s">
        <v>55</v>
      </c>
      <c r="G86" s="222" t="s">
        <v>114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03" t="s">
        <v>283</v>
      </c>
      <c r="V86" s="115"/>
      <c r="W86" s="114"/>
      <c r="X86" s="115"/>
      <c r="Y86" s="221"/>
      <c r="Z86" s="115"/>
      <c r="AA86" s="115"/>
      <c r="AB86" s="22"/>
      <c r="AC86" s="170"/>
      <c r="AD86" s="208"/>
      <c r="AE86" s="170"/>
      <c r="AF86" s="208"/>
      <c r="AG86" s="170"/>
      <c r="AH86" s="208"/>
      <c r="AI86" s="170"/>
      <c r="AJ86" s="232">
        <v>76</v>
      </c>
      <c r="AK86" s="170"/>
      <c r="AL86" s="270"/>
      <c r="AM86" s="170"/>
      <c r="AN86" s="270"/>
      <c r="AO86" s="170"/>
      <c r="AP86" s="233"/>
      <c r="AQ86" s="233"/>
      <c r="AR86" s="170"/>
      <c r="AS86" s="170"/>
      <c r="AT86" s="247">
        <f t="shared" si="6"/>
        <v>60</v>
      </c>
      <c r="AU86" s="386"/>
      <c r="AV86" s="279">
        <v>60</v>
      </c>
    </row>
    <row r="87" spans="1:48" s="62" customFormat="1" ht="25.5" customHeight="1">
      <c r="A87" s="59"/>
      <c r="B87" s="60"/>
      <c r="C87" s="60"/>
      <c r="D87" s="22"/>
      <c r="E87" s="79"/>
      <c r="F87" s="140" t="s">
        <v>55</v>
      </c>
      <c r="G87" s="222" t="s">
        <v>114</v>
      </c>
      <c r="H87" s="115"/>
      <c r="I87" s="115"/>
      <c r="J87" s="115"/>
      <c r="K87" s="115"/>
      <c r="L87" s="276"/>
      <c r="M87" s="277"/>
      <c r="N87" s="276"/>
      <c r="O87" s="115"/>
      <c r="P87" s="276"/>
      <c r="Q87" s="115"/>
      <c r="R87" s="276"/>
      <c r="S87" s="115"/>
      <c r="T87" s="276"/>
      <c r="U87" s="657" t="s">
        <v>356</v>
      </c>
      <c r="V87" s="115"/>
      <c r="W87" s="114"/>
      <c r="X87" s="115"/>
      <c r="Y87" s="221"/>
      <c r="Z87" s="115"/>
      <c r="AA87" s="115"/>
      <c r="AB87" s="22"/>
      <c r="AC87" s="170"/>
      <c r="AD87" s="208"/>
      <c r="AE87" s="170"/>
      <c r="AF87" s="208"/>
      <c r="AG87" s="170"/>
      <c r="AH87" s="208"/>
      <c r="AI87" s="170"/>
      <c r="AJ87" s="232">
        <v>16</v>
      </c>
      <c r="AK87" s="170"/>
      <c r="AL87" s="270"/>
      <c r="AM87" s="170"/>
      <c r="AN87" s="270"/>
      <c r="AO87" s="170"/>
      <c r="AP87" s="233"/>
      <c r="AQ87" s="233"/>
      <c r="AR87" s="170"/>
      <c r="AS87" s="170"/>
      <c r="AT87" s="247">
        <f t="shared" si="6"/>
        <v>16</v>
      </c>
      <c r="AU87" s="386"/>
      <c r="AV87" s="279">
        <v>16</v>
      </c>
    </row>
    <row r="88" spans="1:48" s="62" customFormat="1" ht="25.5" customHeight="1">
      <c r="A88" s="59"/>
      <c r="B88" s="60"/>
      <c r="C88" s="60"/>
      <c r="D88" s="22"/>
      <c r="E88" s="79"/>
      <c r="F88" s="140" t="s">
        <v>55</v>
      </c>
      <c r="G88" s="222" t="s">
        <v>114</v>
      </c>
      <c r="H88" s="115"/>
      <c r="I88" s="115"/>
      <c r="J88" s="115"/>
      <c r="K88" s="115"/>
      <c r="L88" s="276"/>
      <c r="M88" s="277"/>
      <c r="N88" s="276"/>
      <c r="O88" s="115"/>
      <c r="P88" s="276"/>
      <c r="Q88" s="115"/>
      <c r="R88" s="276"/>
      <c r="S88" s="115"/>
      <c r="T88" s="276"/>
      <c r="U88" s="657" t="s">
        <v>357</v>
      </c>
      <c r="V88" s="115"/>
      <c r="W88" s="114"/>
      <c r="X88" s="115"/>
      <c r="Y88" s="221"/>
      <c r="Z88" s="115"/>
      <c r="AA88" s="115"/>
      <c r="AB88" s="22"/>
      <c r="AC88" s="170"/>
      <c r="AD88" s="208"/>
      <c r="AE88" s="170"/>
      <c r="AF88" s="208"/>
      <c r="AG88" s="170"/>
      <c r="AH88" s="208"/>
      <c r="AI88" s="170"/>
      <c r="AJ88" s="232">
        <v>50</v>
      </c>
      <c r="AK88" s="170"/>
      <c r="AL88" s="270"/>
      <c r="AM88" s="170"/>
      <c r="AN88" s="270"/>
      <c r="AO88" s="170"/>
      <c r="AP88" s="233"/>
      <c r="AQ88" s="233"/>
      <c r="AR88" s="170"/>
      <c r="AS88" s="170"/>
      <c r="AT88" s="247">
        <f t="shared" si="6"/>
        <v>50</v>
      </c>
      <c r="AU88" s="386"/>
      <c r="AV88" s="279">
        <v>50</v>
      </c>
    </row>
    <row r="89" spans="1:48" s="62" customFormat="1" ht="25.5" customHeight="1">
      <c r="A89" s="59"/>
      <c r="B89" s="60"/>
      <c r="C89" s="60"/>
      <c r="D89" s="22"/>
      <c r="E89" s="79"/>
      <c r="F89" s="140" t="s">
        <v>55</v>
      </c>
      <c r="G89" s="222" t="s">
        <v>114</v>
      </c>
      <c r="H89" s="115"/>
      <c r="I89" s="115"/>
      <c r="J89" s="115"/>
      <c r="K89" s="115"/>
      <c r="L89" s="276"/>
      <c r="M89" s="277"/>
      <c r="N89" s="276"/>
      <c r="O89" s="115"/>
      <c r="P89" s="276"/>
      <c r="Q89" s="115"/>
      <c r="R89" s="276"/>
      <c r="S89" s="115"/>
      <c r="T89" s="276"/>
      <c r="U89" s="657" t="s">
        <v>356</v>
      </c>
      <c r="V89" s="115"/>
      <c r="W89" s="114"/>
      <c r="X89" s="115"/>
      <c r="Y89" s="221"/>
      <c r="Z89" s="115"/>
      <c r="AA89" s="115"/>
      <c r="AB89" s="22"/>
      <c r="AC89" s="170"/>
      <c r="AD89" s="208"/>
      <c r="AE89" s="170"/>
      <c r="AF89" s="208"/>
      <c r="AG89" s="170"/>
      <c r="AH89" s="208"/>
      <c r="AI89" s="170"/>
      <c r="AJ89" s="232">
        <v>24</v>
      </c>
      <c r="AK89" s="170"/>
      <c r="AL89" s="270"/>
      <c r="AM89" s="170"/>
      <c r="AN89" s="270"/>
      <c r="AO89" s="170"/>
      <c r="AP89" s="233"/>
      <c r="AQ89" s="233"/>
      <c r="AR89" s="170"/>
      <c r="AS89" s="170"/>
      <c r="AT89" s="247">
        <f t="shared" si="6"/>
        <v>24</v>
      </c>
      <c r="AU89" s="386"/>
      <c r="AV89" s="279">
        <v>24</v>
      </c>
    </row>
    <row r="90" spans="1:48" s="62" customFormat="1" ht="25.5" customHeight="1">
      <c r="A90" s="59"/>
      <c r="B90" s="60"/>
      <c r="C90" s="60"/>
      <c r="D90" s="22"/>
      <c r="E90" s="79"/>
      <c r="F90" s="173" t="s">
        <v>64</v>
      </c>
      <c r="G90" s="222" t="s">
        <v>140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244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/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6"/>
        <v>236</v>
      </c>
      <c r="AU90" s="228"/>
      <c r="AV90" s="279">
        <v>236</v>
      </c>
    </row>
    <row r="91" spans="1:48" s="62" customFormat="1" ht="25.5" customHeight="1">
      <c r="A91" s="59"/>
      <c r="B91" s="60"/>
      <c r="C91" s="60"/>
      <c r="D91" s="22"/>
      <c r="E91" s="79"/>
      <c r="F91" s="173" t="s">
        <v>64</v>
      </c>
      <c r="G91" s="222" t="s">
        <v>140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264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224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6"/>
        <v>224</v>
      </c>
      <c r="AU91" s="228"/>
      <c r="AV91" s="279">
        <v>224</v>
      </c>
    </row>
    <row r="92" spans="1:48" s="62" customFormat="1" ht="25.5" customHeight="1">
      <c r="A92" s="59"/>
      <c r="B92" s="60"/>
      <c r="C92" s="60"/>
      <c r="D92" s="22"/>
      <c r="E92" s="79"/>
      <c r="F92" s="173" t="s">
        <v>64</v>
      </c>
      <c r="G92" s="222" t="s">
        <v>140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244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176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6"/>
        <v>176</v>
      </c>
      <c r="AU92" s="228"/>
      <c r="AV92" s="279">
        <v>176</v>
      </c>
    </row>
    <row r="93" spans="1:48" s="62" customFormat="1" ht="25.5" customHeight="1">
      <c r="A93" s="59"/>
      <c r="B93" s="60"/>
      <c r="C93" s="60"/>
      <c r="D93" s="22"/>
      <c r="E93" s="79"/>
      <c r="F93" s="173" t="s">
        <v>64</v>
      </c>
      <c r="G93" s="222" t="s">
        <v>140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285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154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6"/>
        <v>154</v>
      </c>
      <c r="AU93" s="228"/>
      <c r="AV93" s="279">
        <v>154</v>
      </c>
    </row>
    <row r="94" spans="1:48" s="62" customFormat="1" ht="25.5" customHeight="1">
      <c r="A94" s="59"/>
      <c r="B94" s="60"/>
      <c r="C94" s="60"/>
      <c r="D94" s="22"/>
      <c r="E94" s="79"/>
      <c r="F94" s="173" t="s">
        <v>64</v>
      </c>
      <c r="G94" s="222" t="s">
        <v>140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293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84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ref="AT94:AT115" si="9">AV94</f>
        <v>84</v>
      </c>
      <c r="AU94" s="228"/>
      <c r="AV94" s="279">
        <v>84</v>
      </c>
    </row>
    <row r="95" spans="1:48" s="62" customFormat="1" ht="25.5" customHeight="1">
      <c r="A95" s="59"/>
      <c r="B95" s="60"/>
      <c r="C95" s="60"/>
      <c r="D95" s="22"/>
      <c r="E95" s="79"/>
      <c r="F95" s="173" t="s">
        <v>64</v>
      </c>
      <c r="G95" s="222" t="s">
        <v>140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293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48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48</v>
      </c>
      <c r="AU95" s="228"/>
      <c r="AV95" s="279">
        <v>48</v>
      </c>
    </row>
    <row r="96" spans="1:48" s="62" customFormat="1" ht="25.5" customHeight="1">
      <c r="A96" s="59"/>
      <c r="B96" s="60"/>
      <c r="C96" s="60"/>
      <c r="D96" s="22"/>
      <c r="E96" s="79"/>
      <c r="F96" s="173" t="s">
        <v>64</v>
      </c>
      <c r="G96" s="222" t="s">
        <v>140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 t="s">
        <v>323</v>
      </c>
      <c r="V96" s="115"/>
      <c r="W96" s="114"/>
      <c r="X96" s="193"/>
      <c r="Y96" s="200"/>
      <c r="Z96" s="193"/>
      <c r="AA96" s="200"/>
      <c r="AB96" s="22"/>
      <c r="AC96" s="170"/>
      <c r="AD96" s="209"/>
      <c r="AE96" s="194"/>
      <c r="AF96" s="209"/>
      <c r="AG96" s="194"/>
      <c r="AH96" s="209"/>
      <c r="AI96" s="194"/>
      <c r="AJ96" s="232">
        <v>36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47">
        <f t="shared" si="9"/>
        <v>36</v>
      </c>
      <c r="AU96" s="228"/>
      <c r="AV96" s="279">
        <v>36</v>
      </c>
    </row>
    <row r="97" spans="1:48" s="62" customFormat="1" ht="25.5" customHeight="1">
      <c r="A97" s="59"/>
      <c r="B97" s="60"/>
      <c r="C97" s="60"/>
      <c r="D97" s="22"/>
      <c r="E97" s="79"/>
      <c r="F97" s="173" t="s">
        <v>64</v>
      </c>
      <c r="G97" s="222" t="s">
        <v>140</v>
      </c>
      <c r="H97" s="193"/>
      <c r="I97" s="193"/>
      <c r="J97" s="193"/>
      <c r="K97" s="193"/>
      <c r="L97" s="243"/>
      <c r="M97" s="242"/>
      <c r="N97" s="243"/>
      <c r="O97" s="193"/>
      <c r="P97" s="243"/>
      <c r="Q97" s="193"/>
      <c r="R97" s="243"/>
      <c r="S97" s="193"/>
      <c r="T97" s="243"/>
      <c r="U97" s="657" t="s">
        <v>358</v>
      </c>
      <c r="V97" s="115"/>
      <c r="W97" s="114"/>
      <c r="X97" s="193"/>
      <c r="Y97" s="200"/>
      <c r="Z97" s="193"/>
      <c r="AA97" s="200"/>
      <c r="AB97" s="22"/>
      <c r="AC97" s="170"/>
      <c r="AD97" s="209"/>
      <c r="AE97" s="194"/>
      <c r="AF97" s="209"/>
      <c r="AG97" s="194"/>
      <c r="AH97" s="209"/>
      <c r="AI97" s="194"/>
      <c r="AJ97" s="232">
        <v>60</v>
      </c>
      <c r="AK97" s="170"/>
      <c r="AL97" s="272"/>
      <c r="AM97" s="212"/>
      <c r="AN97" s="269"/>
      <c r="AO97" s="217"/>
      <c r="AP97" s="232"/>
      <c r="AQ97" s="229"/>
      <c r="AR97" s="212"/>
      <c r="AS97" s="212"/>
      <c r="AT97" s="247">
        <f t="shared" si="9"/>
        <v>60</v>
      </c>
      <c r="AU97" s="228"/>
      <c r="AV97" s="279">
        <v>60</v>
      </c>
    </row>
    <row r="98" spans="1:48" s="62" customFormat="1" ht="25.5" customHeight="1">
      <c r="A98" s="59"/>
      <c r="B98" s="60"/>
      <c r="C98" s="60"/>
      <c r="D98" s="22"/>
      <c r="E98" s="79"/>
      <c r="F98" s="173" t="s">
        <v>64</v>
      </c>
      <c r="G98" s="222" t="s">
        <v>140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57" t="s">
        <v>358</v>
      </c>
      <c r="V98" s="115"/>
      <c r="W98" s="114"/>
      <c r="X98" s="193"/>
      <c r="Y98" s="200"/>
      <c r="Z98" s="193"/>
      <c r="AA98" s="200"/>
      <c r="AB98" s="22"/>
      <c r="AC98" s="170"/>
      <c r="AD98" s="209"/>
      <c r="AE98" s="194"/>
      <c r="AF98" s="209"/>
      <c r="AG98" s="194"/>
      <c r="AH98" s="209"/>
      <c r="AI98" s="194"/>
      <c r="AJ98" s="232">
        <v>156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156</v>
      </c>
      <c r="AU98" s="228"/>
      <c r="AV98" s="279">
        <v>156</v>
      </c>
    </row>
    <row r="99" spans="1:48" s="62" customFormat="1" ht="25.5" customHeight="1">
      <c r="A99" s="59"/>
      <c r="B99" s="60"/>
      <c r="C99" s="60"/>
      <c r="D99" s="22"/>
      <c r="E99" s="79"/>
      <c r="F99" s="173" t="s">
        <v>64</v>
      </c>
      <c r="G99" s="222" t="s">
        <v>140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57" t="s">
        <v>361</v>
      </c>
      <c r="V99" s="115"/>
      <c r="W99" s="114"/>
      <c r="X99" s="193"/>
      <c r="Y99" s="200"/>
      <c r="Z99" s="193"/>
      <c r="AA99" s="200"/>
      <c r="AB99" s="22"/>
      <c r="AC99" s="170"/>
      <c r="AD99" s="209"/>
      <c r="AE99" s="194"/>
      <c r="AF99" s="209"/>
      <c r="AG99" s="194"/>
      <c r="AH99" s="209"/>
      <c r="AI99" s="194"/>
      <c r="AJ99" s="232">
        <v>134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134</v>
      </c>
      <c r="AU99" s="228"/>
      <c r="AV99" s="279">
        <v>134</v>
      </c>
    </row>
    <row r="100" spans="1:48" s="62" customFormat="1" ht="25.5" customHeight="1">
      <c r="A100" s="59"/>
      <c r="B100" s="60"/>
      <c r="C100" s="427"/>
      <c r="D100" s="428"/>
      <c r="E100" s="79"/>
      <c r="F100" s="173" t="s">
        <v>64</v>
      </c>
      <c r="G100" s="222" t="s">
        <v>140</v>
      </c>
      <c r="H100" s="193"/>
      <c r="I100" s="193"/>
      <c r="J100" s="193"/>
      <c r="K100" s="193"/>
      <c r="L100" s="243"/>
      <c r="M100" s="242"/>
      <c r="N100" s="243"/>
      <c r="O100" s="193"/>
      <c r="P100" s="243"/>
      <c r="Q100" s="193"/>
      <c r="R100" s="243"/>
      <c r="S100" s="193"/>
      <c r="T100" s="243"/>
      <c r="U100" s="203" t="s">
        <v>366</v>
      </c>
      <c r="V100" s="115"/>
      <c r="W100" s="114"/>
      <c r="X100" s="193"/>
      <c r="Y100" s="200"/>
      <c r="Z100" s="193"/>
      <c r="AA100" s="200"/>
      <c r="AB100" s="22"/>
      <c r="AC100" s="170"/>
      <c r="AD100" s="209"/>
      <c r="AE100" s="194"/>
      <c r="AF100" s="209"/>
      <c r="AG100" s="194"/>
      <c r="AH100" s="209"/>
      <c r="AI100" s="194"/>
      <c r="AJ100" s="232">
        <v>90</v>
      </c>
      <c r="AK100" s="170"/>
      <c r="AL100" s="272"/>
      <c r="AM100" s="212"/>
      <c r="AN100" s="269"/>
      <c r="AO100" s="217"/>
      <c r="AP100" s="232"/>
      <c r="AQ100" s="229"/>
      <c r="AR100" s="212"/>
      <c r="AS100" s="212"/>
      <c r="AT100" s="247">
        <f t="shared" si="9"/>
        <v>90</v>
      </c>
      <c r="AU100" s="228"/>
      <c r="AV100" s="279">
        <v>90</v>
      </c>
    </row>
    <row r="101" spans="1:48" s="62" customFormat="1" ht="25.5" customHeight="1">
      <c r="A101" s="59"/>
      <c r="B101" s="60"/>
      <c r="C101" s="427"/>
      <c r="D101" s="428"/>
      <c r="E101" s="79"/>
      <c r="F101" s="173" t="s">
        <v>64</v>
      </c>
      <c r="G101" s="222" t="s">
        <v>140</v>
      </c>
      <c r="H101" s="193"/>
      <c r="I101" s="193"/>
      <c r="J101" s="193"/>
      <c r="K101" s="193"/>
      <c r="L101" s="243"/>
      <c r="M101" s="242"/>
      <c r="N101" s="243"/>
      <c r="O101" s="193"/>
      <c r="P101" s="243"/>
      <c r="Q101" s="193"/>
      <c r="R101" s="243"/>
      <c r="S101" s="193"/>
      <c r="T101" s="243"/>
      <c r="U101" s="203" t="s">
        <v>366</v>
      </c>
      <c r="V101" s="115"/>
      <c r="W101" s="114"/>
      <c r="X101" s="193"/>
      <c r="Y101" s="200"/>
      <c r="Z101" s="193"/>
      <c r="AA101" s="200"/>
      <c r="AB101" s="22"/>
      <c r="AC101" s="170"/>
      <c r="AD101" s="209"/>
      <c r="AE101" s="194"/>
      <c r="AF101" s="209"/>
      <c r="AG101" s="194"/>
      <c r="AH101" s="209"/>
      <c r="AI101" s="194"/>
      <c r="AJ101" s="232">
        <v>12</v>
      </c>
      <c r="AK101" s="170"/>
      <c r="AL101" s="272"/>
      <c r="AM101" s="212"/>
      <c r="AN101" s="269"/>
      <c r="AO101" s="217"/>
      <c r="AP101" s="232"/>
      <c r="AQ101" s="229"/>
      <c r="AR101" s="212"/>
      <c r="AS101" s="212"/>
      <c r="AT101" s="247">
        <f t="shared" si="9"/>
        <v>12</v>
      </c>
      <c r="AU101" s="228"/>
      <c r="AV101" s="279">
        <v>12</v>
      </c>
    </row>
    <row r="102" spans="1:48" s="62" customFormat="1" ht="31.5">
      <c r="A102" s="59"/>
      <c r="B102" s="60"/>
      <c r="C102" s="60"/>
      <c r="D102" s="22"/>
      <c r="E102" s="79"/>
      <c r="F102" s="51" t="s">
        <v>57</v>
      </c>
      <c r="G102" s="275" t="s">
        <v>121</v>
      </c>
      <c r="H102" s="115"/>
      <c r="I102" s="115"/>
      <c r="J102" s="115"/>
      <c r="K102" s="115"/>
      <c r="L102" s="276"/>
      <c r="M102" s="277"/>
      <c r="N102" s="276"/>
      <c r="O102" s="115"/>
      <c r="P102" s="276"/>
      <c r="Q102" s="115"/>
      <c r="R102" s="276"/>
      <c r="S102" s="115"/>
      <c r="T102" s="276"/>
      <c r="U102" s="278" t="s">
        <v>266</v>
      </c>
      <c r="V102" s="115"/>
      <c r="W102" s="114"/>
      <c r="X102" s="115"/>
      <c r="Y102" s="221"/>
      <c r="Z102" s="115"/>
      <c r="AA102" s="221"/>
      <c r="AB102" s="22"/>
      <c r="AC102" s="170"/>
      <c r="AD102" s="208"/>
      <c r="AE102" s="170"/>
      <c r="AF102" s="208"/>
      <c r="AG102" s="170"/>
      <c r="AH102" s="208"/>
      <c r="AI102" s="170"/>
      <c r="AJ102" s="233">
        <v>766</v>
      </c>
      <c r="AK102" s="170"/>
      <c r="AL102" s="270"/>
      <c r="AM102" s="170"/>
      <c r="AN102" s="270"/>
      <c r="AO102" s="170"/>
      <c r="AP102" s="233"/>
      <c r="AQ102" s="233"/>
      <c r="AR102" s="170"/>
      <c r="AS102" s="170"/>
      <c r="AT102" s="233">
        <f t="shared" si="9"/>
        <v>0</v>
      </c>
      <c r="AU102" s="386"/>
      <c r="AV102" s="233">
        <v>0</v>
      </c>
    </row>
    <row r="103" spans="1:48" s="62" customFormat="1" ht="31.5">
      <c r="A103" s="59"/>
      <c r="B103" s="60"/>
      <c r="C103" s="60"/>
      <c r="D103" s="22"/>
      <c r="E103" s="79"/>
      <c r="F103" s="51" t="s">
        <v>57</v>
      </c>
      <c r="G103" s="275" t="s">
        <v>121</v>
      </c>
      <c r="H103" s="115"/>
      <c r="I103" s="115"/>
      <c r="J103" s="115"/>
      <c r="K103" s="115"/>
      <c r="L103" s="276"/>
      <c r="M103" s="277"/>
      <c r="N103" s="276"/>
      <c r="O103" s="115"/>
      <c r="P103" s="276"/>
      <c r="Q103" s="115"/>
      <c r="R103" s="276"/>
      <c r="S103" s="115"/>
      <c r="T103" s="276"/>
      <c r="U103" s="278" t="s">
        <v>266</v>
      </c>
      <c r="V103" s="115"/>
      <c r="W103" s="114"/>
      <c r="X103" s="115"/>
      <c r="Y103" s="221"/>
      <c r="Z103" s="115"/>
      <c r="AA103" s="221"/>
      <c r="AB103" s="22"/>
      <c r="AC103" s="170"/>
      <c r="AD103" s="208"/>
      <c r="AE103" s="170"/>
      <c r="AF103" s="208"/>
      <c r="AG103" s="170"/>
      <c r="AH103" s="208"/>
      <c r="AI103" s="170"/>
      <c r="AJ103" s="233">
        <v>450</v>
      </c>
      <c r="AK103" s="170"/>
      <c r="AL103" s="270"/>
      <c r="AM103" s="170"/>
      <c r="AN103" s="270"/>
      <c r="AO103" s="170"/>
      <c r="AP103" s="233"/>
      <c r="AQ103" s="233"/>
      <c r="AR103" s="170"/>
      <c r="AS103" s="170"/>
      <c r="AT103" s="233">
        <f t="shared" si="9"/>
        <v>0</v>
      </c>
      <c r="AU103" s="386"/>
      <c r="AV103" s="233">
        <v>0</v>
      </c>
    </row>
    <row r="104" spans="1:48" s="62" customFormat="1" ht="31.5">
      <c r="A104" s="59"/>
      <c r="B104" s="60"/>
      <c r="C104" s="60"/>
      <c r="D104" s="22"/>
      <c r="E104" s="79"/>
      <c r="F104" s="51" t="s">
        <v>57</v>
      </c>
      <c r="G104" s="275" t="s">
        <v>279</v>
      </c>
      <c r="H104" s="115"/>
      <c r="I104" s="115"/>
      <c r="J104" s="115"/>
      <c r="K104" s="115"/>
      <c r="L104" s="276"/>
      <c r="M104" s="277"/>
      <c r="N104" s="276"/>
      <c r="O104" s="115"/>
      <c r="P104" s="276"/>
      <c r="Q104" s="115"/>
      <c r="R104" s="276"/>
      <c r="S104" s="115"/>
      <c r="T104" s="276"/>
      <c r="U104" s="278" t="s">
        <v>266</v>
      </c>
      <c r="V104" s="115"/>
      <c r="W104" s="114"/>
      <c r="X104" s="115"/>
      <c r="Y104" s="221"/>
      <c r="Z104" s="115"/>
      <c r="AA104" s="221"/>
      <c r="AB104" s="22"/>
      <c r="AC104" s="170"/>
      <c r="AD104" s="208"/>
      <c r="AE104" s="170"/>
      <c r="AF104" s="208"/>
      <c r="AG104" s="170"/>
      <c r="AH104" s="208"/>
      <c r="AI104" s="170"/>
      <c r="AJ104" s="233">
        <v>610</v>
      </c>
      <c r="AK104" s="170"/>
      <c r="AL104" s="270"/>
      <c r="AM104" s="170"/>
      <c r="AN104" s="270"/>
      <c r="AO104" s="170"/>
      <c r="AP104" s="233"/>
      <c r="AQ104" s="233"/>
      <c r="AR104" s="170"/>
      <c r="AS104" s="170"/>
      <c r="AT104" s="233">
        <f t="shared" si="9"/>
        <v>0</v>
      </c>
      <c r="AU104" s="386"/>
      <c r="AV104" s="233">
        <v>0</v>
      </c>
    </row>
    <row r="105" spans="1:48" s="62" customFormat="1" ht="31.5">
      <c r="A105" s="59"/>
      <c r="B105" s="60"/>
      <c r="C105" s="60"/>
      <c r="D105" s="22"/>
      <c r="E105" s="79"/>
      <c r="F105" s="51" t="s">
        <v>57</v>
      </c>
      <c r="G105" s="275" t="s">
        <v>279</v>
      </c>
      <c r="H105" s="115"/>
      <c r="I105" s="115"/>
      <c r="J105" s="115"/>
      <c r="K105" s="115"/>
      <c r="L105" s="276"/>
      <c r="M105" s="277"/>
      <c r="N105" s="276"/>
      <c r="O105" s="115"/>
      <c r="P105" s="276"/>
      <c r="Q105" s="115"/>
      <c r="R105" s="276"/>
      <c r="S105" s="115"/>
      <c r="T105" s="276"/>
      <c r="U105" s="278" t="s">
        <v>284</v>
      </c>
      <c r="V105" s="115"/>
      <c r="W105" s="114"/>
      <c r="X105" s="115"/>
      <c r="Y105" s="221"/>
      <c r="Z105" s="115"/>
      <c r="AA105" s="221"/>
      <c r="AB105" s="22"/>
      <c r="AC105" s="170"/>
      <c r="AD105" s="208"/>
      <c r="AE105" s="170"/>
      <c r="AF105" s="208"/>
      <c r="AG105" s="170"/>
      <c r="AH105" s="208"/>
      <c r="AI105" s="170"/>
      <c r="AJ105" s="233">
        <v>723</v>
      </c>
      <c r="AK105" s="170"/>
      <c r="AL105" s="270"/>
      <c r="AM105" s="170"/>
      <c r="AN105" s="270"/>
      <c r="AO105" s="170"/>
      <c r="AP105" s="233"/>
      <c r="AQ105" s="233"/>
      <c r="AR105" s="170"/>
      <c r="AS105" s="170"/>
      <c r="AT105" s="233">
        <f t="shared" si="9"/>
        <v>0</v>
      </c>
      <c r="AU105" s="386"/>
      <c r="AV105" s="233">
        <v>0</v>
      </c>
    </row>
    <row r="106" spans="1:48" s="62" customFormat="1" ht="31.5">
      <c r="A106" s="59"/>
      <c r="B106" s="60"/>
      <c r="C106" s="60"/>
      <c r="D106" s="22"/>
      <c r="E106" s="79"/>
      <c r="F106" s="51" t="s">
        <v>57</v>
      </c>
      <c r="G106" s="275" t="s">
        <v>279</v>
      </c>
      <c r="H106" s="115"/>
      <c r="I106" s="115"/>
      <c r="J106" s="115"/>
      <c r="K106" s="115"/>
      <c r="L106" s="276"/>
      <c r="M106" s="277"/>
      <c r="N106" s="276"/>
      <c r="O106" s="115"/>
      <c r="P106" s="276"/>
      <c r="Q106" s="115"/>
      <c r="R106" s="276"/>
      <c r="S106" s="115"/>
      <c r="T106" s="276"/>
      <c r="U106" s="278" t="s">
        <v>311</v>
      </c>
      <c r="V106" s="115"/>
      <c r="W106" s="114"/>
      <c r="X106" s="115"/>
      <c r="Y106" s="221"/>
      <c r="Z106" s="115"/>
      <c r="AA106" s="221"/>
      <c r="AB106" s="22"/>
      <c r="AC106" s="170"/>
      <c r="AD106" s="208"/>
      <c r="AE106" s="170"/>
      <c r="AF106" s="208"/>
      <c r="AG106" s="170"/>
      <c r="AH106" s="208"/>
      <c r="AI106" s="170"/>
      <c r="AJ106" s="233">
        <v>724</v>
      </c>
      <c r="AK106" s="170"/>
      <c r="AL106" s="270"/>
      <c r="AM106" s="170"/>
      <c r="AN106" s="270"/>
      <c r="AO106" s="170"/>
      <c r="AP106" s="233"/>
      <c r="AQ106" s="233"/>
      <c r="AR106" s="170"/>
      <c r="AS106" s="170"/>
      <c r="AT106" s="233">
        <f t="shared" si="9"/>
        <v>0</v>
      </c>
      <c r="AU106" s="386"/>
      <c r="AV106" s="233">
        <v>0</v>
      </c>
    </row>
    <row r="107" spans="1:48" s="62" customFormat="1" ht="31.5">
      <c r="A107" s="59"/>
      <c r="B107" s="60"/>
      <c r="C107" s="60"/>
      <c r="D107" s="22"/>
      <c r="E107" s="79"/>
      <c r="F107" s="150" t="s">
        <v>57</v>
      </c>
      <c r="G107" s="222" t="s">
        <v>279</v>
      </c>
      <c r="H107" s="193"/>
      <c r="I107" s="193"/>
      <c r="J107" s="193"/>
      <c r="K107" s="193"/>
      <c r="L107" s="243"/>
      <c r="M107" s="242"/>
      <c r="N107" s="243"/>
      <c r="O107" s="193"/>
      <c r="P107" s="243"/>
      <c r="Q107" s="193"/>
      <c r="R107" s="243"/>
      <c r="S107" s="193"/>
      <c r="T107" s="243"/>
      <c r="U107" s="203" t="s">
        <v>311</v>
      </c>
      <c r="V107" s="115"/>
      <c r="W107" s="114"/>
      <c r="X107" s="193"/>
      <c r="Y107" s="200"/>
      <c r="Z107" s="193"/>
      <c r="AA107" s="200"/>
      <c r="AB107" s="22"/>
      <c r="AC107" s="170"/>
      <c r="AD107" s="209"/>
      <c r="AE107" s="194"/>
      <c r="AF107" s="209"/>
      <c r="AG107" s="194"/>
      <c r="AH107" s="209"/>
      <c r="AI107" s="194"/>
      <c r="AJ107" s="232">
        <v>726</v>
      </c>
      <c r="AK107" s="170"/>
      <c r="AL107" s="272"/>
      <c r="AM107" s="212"/>
      <c r="AN107" s="269"/>
      <c r="AO107" s="217"/>
      <c r="AP107" s="232"/>
      <c r="AQ107" s="229"/>
      <c r="AR107" s="212"/>
      <c r="AS107" s="212"/>
      <c r="AT107" s="247">
        <f t="shared" si="9"/>
        <v>499</v>
      </c>
      <c r="AU107" s="228"/>
      <c r="AV107" s="279">
        <v>499</v>
      </c>
    </row>
    <row r="108" spans="1:48" s="62" customFormat="1" ht="31.5">
      <c r="A108" s="59"/>
      <c r="B108" s="60"/>
      <c r="C108" s="60"/>
      <c r="D108" s="22"/>
      <c r="E108" s="79"/>
      <c r="F108" s="150" t="s">
        <v>57</v>
      </c>
      <c r="G108" s="222" t="s">
        <v>279</v>
      </c>
      <c r="H108" s="193"/>
      <c r="I108" s="193"/>
      <c r="J108" s="193"/>
      <c r="K108" s="193"/>
      <c r="L108" s="243"/>
      <c r="M108" s="242"/>
      <c r="N108" s="243"/>
      <c r="O108" s="193"/>
      <c r="P108" s="243"/>
      <c r="Q108" s="193"/>
      <c r="R108" s="243"/>
      <c r="S108" s="193"/>
      <c r="T108" s="243"/>
      <c r="U108" s="203" t="s">
        <v>311</v>
      </c>
      <c r="V108" s="115"/>
      <c r="W108" s="114"/>
      <c r="X108" s="193"/>
      <c r="Y108" s="200"/>
      <c r="Z108" s="193"/>
      <c r="AA108" s="200"/>
      <c r="AB108" s="22"/>
      <c r="AC108" s="170"/>
      <c r="AD108" s="209"/>
      <c r="AE108" s="194"/>
      <c r="AF108" s="209"/>
      <c r="AG108" s="194"/>
      <c r="AH108" s="209"/>
      <c r="AI108" s="194"/>
      <c r="AJ108" s="232">
        <v>544</v>
      </c>
      <c r="AK108" s="170"/>
      <c r="AL108" s="272"/>
      <c r="AM108" s="212"/>
      <c r="AN108" s="269"/>
      <c r="AO108" s="217"/>
      <c r="AP108" s="232"/>
      <c r="AQ108" s="229"/>
      <c r="AR108" s="212"/>
      <c r="AS108" s="212"/>
      <c r="AT108" s="247">
        <f t="shared" si="9"/>
        <v>544</v>
      </c>
      <c r="AU108" s="228"/>
      <c r="AV108" s="279">
        <v>544</v>
      </c>
    </row>
    <row r="109" spans="1:48" s="62" customFormat="1" ht="31.5">
      <c r="A109" s="59"/>
      <c r="B109" s="60"/>
      <c r="C109" s="60"/>
      <c r="D109" s="22"/>
      <c r="E109" s="79"/>
      <c r="F109" s="150" t="s">
        <v>57</v>
      </c>
      <c r="G109" s="222" t="s">
        <v>279</v>
      </c>
      <c r="H109" s="193"/>
      <c r="I109" s="193"/>
      <c r="J109" s="193"/>
      <c r="K109" s="193"/>
      <c r="L109" s="243"/>
      <c r="M109" s="242"/>
      <c r="N109" s="243"/>
      <c r="O109" s="193"/>
      <c r="P109" s="243"/>
      <c r="Q109" s="193"/>
      <c r="R109" s="243"/>
      <c r="S109" s="193"/>
      <c r="T109" s="243"/>
      <c r="U109" s="203" t="s">
        <v>311</v>
      </c>
      <c r="V109" s="115"/>
      <c r="W109" s="114"/>
      <c r="X109" s="193"/>
      <c r="Y109" s="200"/>
      <c r="Z109" s="193"/>
      <c r="AA109" s="200"/>
      <c r="AB109" s="22"/>
      <c r="AC109" s="170"/>
      <c r="AD109" s="209"/>
      <c r="AE109" s="194"/>
      <c r="AF109" s="209"/>
      <c r="AG109" s="194"/>
      <c r="AH109" s="209"/>
      <c r="AI109" s="194"/>
      <c r="AJ109" s="232">
        <v>30</v>
      </c>
      <c r="AK109" s="170"/>
      <c r="AL109" s="272"/>
      <c r="AM109" s="212"/>
      <c r="AN109" s="269"/>
      <c r="AO109" s="217"/>
      <c r="AP109" s="232"/>
      <c r="AQ109" s="229"/>
      <c r="AR109" s="212"/>
      <c r="AS109" s="212"/>
      <c r="AT109" s="247">
        <f t="shared" si="9"/>
        <v>30</v>
      </c>
      <c r="AU109" s="228"/>
      <c r="AV109" s="279">
        <v>30</v>
      </c>
    </row>
    <row r="110" spans="1:48" s="62" customFormat="1" ht="26.25" customHeight="1">
      <c r="A110" s="59"/>
      <c r="B110" s="60"/>
      <c r="C110" s="60"/>
      <c r="D110" s="22"/>
      <c r="E110" s="79" t="s">
        <v>24</v>
      </c>
      <c r="F110" s="161" t="s">
        <v>61</v>
      </c>
      <c r="G110" s="222" t="s">
        <v>127</v>
      </c>
      <c r="H110" s="193" t="s">
        <v>91</v>
      </c>
      <c r="I110" s="193" t="s">
        <v>91</v>
      </c>
      <c r="J110" s="193">
        <v>48</v>
      </c>
      <c r="K110" s="193">
        <v>3</v>
      </c>
      <c r="L110" s="243">
        <v>71.97</v>
      </c>
      <c r="M110" s="242">
        <f t="shared" ref="M110:M111" si="10">J110*K110</f>
        <v>144</v>
      </c>
      <c r="N110" s="243">
        <f t="shared" ref="N110:N111" si="11">L110*M110</f>
        <v>10363.68</v>
      </c>
      <c r="O110" s="193">
        <v>14</v>
      </c>
      <c r="P110" s="243">
        <v>714.98</v>
      </c>
      <c r="Q110" s="193"/>
      <c r="R110" s="243"/>
      <c r="S110" s="193"/>
      <c r="T110" s="243"/>
      <c r="U110" s="203" t="s">
        <v>128</v>
      </c>
      <c r="V110" s="115">
        <v>135</v>
      </c>
      <c r="W110" s="114">
        <v>42761</v>
      </c>
      <c r="X110" s="193" t="s">
        <v>126</v>
      </c>
      <c r="Y110" s="200">
        <v>43130</v>
      </c>
      <c r="Z110" s="193"/>
      <c r="AA110" s="193"/>
      <c r="AB110" s="22">
        <v>0</v>
      </c>
      <c r="AC110" s="170">
        <v>0</v>
      </c>
      <c r="AD110" s="209">
        <v>14</v>
      </c>
      <c r="AE110" s="194">
        <v>774.48</v>
      </c>
      <c r="AF110" s="209"/>
      <c r="AG110" s="194"/>
      <c r="AH110" s="209"/>
      <c r="AI110" s="194"/>
      <c r="AJ110" s="232"/>
      <c r="AK110" s="170">
        <f t="shared" si="5"/>
        <v>774.48</v>
      </c>
      <c r="AL110" s="272">
        <v>0</v>
      </c>
      <c r="AM110" s="212">
        <v>0</v>
      </c>
      <c r="AN110" s="269">
        <v>14</v>
      </c>
      <c r="AO110" s="217">
        <f t="shared" ref="AO110:AO111" si="12">AC110+AK110-AM110</f>
        <v>774.48</v>
      </c>
      <c r="AP110" s="232"/>
      <c r="AQ110" s="229"/>
      <c r="AR110" s="212">
        <v>55.32</v>
      </c>
      <c r="AS110" s="212">
        <f t="shared" si="3"/>
        <v>0</v>
      </c>
      <c r="AT110" s="247">
        <f t="shared" si="9"/>
        <v>8</v>
      </c>
      <c r="AU110" s="228">
        <f t="shared" si="4"/>
        <v>442.56</v>
      </c>
      <c r="AV110" s="279">
        <v>8</v>
      </c>
    </row>
    <row r="111" spans="1:48" s="62" customFormat="1" ht="26.25" customHeight="1">
      <c r="A111" s="59"/>
      <c r="B111" s="60"/>
      <c r="C111" s="60"/>
      <c r="D111" s="22"/>
      <c r="E111" s="79" t="s">
        <v>24</v>
      </c>
      <c r="F111" s="161" t="s">
        <v>61</v>
      </c>
      <c r="G111" s="222" t="s">
        <v>127</v>
      </c>
      <c r="H111" s="193" t="s">
        <v>91</v>
      </c>
      <c r="I111" s="193" t="s">
        <v>91</v>
      </c>
      <c r="J111" s="193"/>
      <c r="K111" s="193"/>
      <c r="L111" s="243"/>
      <c r="M111" s="242">
        <f t="shared" si="10"/>
        <v>0</v>
      </c>
      <c r="N111" s="243">
        <f t="shared" si="11"/>
        <v>0</v>
      </c>
      <c r="O111" s="193"/>
      <c r="P111" s="243"/>
      <c r="Q111" s="193"/>
      <c r="R111" s="243"/>
      <c r="S111" s="193"/>
      <c r="T111" s="243"/>
      <c r="U111" s="203" t="s">
        <v>171</v>
      </c>
      <c r="V111" s="115">
        <v>834</v>
      </c>
      <c r="W111" s="114">
        <v>43222</v>
      </c>
      <c r="X111" s="193" t="s">
        <v>162</v>
      </c>
      <c r="Y111" s="200">
        <v>43242</v>
      </c>
      <c r="Z111" s="193"/>
      <c r="AA111" s="193"/>
      <c r="AB111" s="22">
        <v>0</v>
      </c>
      <c r="AC111" s="170">
        <v>0</v>
      </c>
      <c r="AD111" s="209">
        <v>26</v>
      </c>
      <c r="AE111" s="194">
        <v>1438.32</v>
      </c>
      <c r="AF111" s="209"/>
      <c r="AG111" s="194"/>
      <c r="AH111" s="209"/>
      <c r="AI111" s="194"/>
      <c r="AJ111" s="232"/>
      <c r="AK111" s="170">
        <f t="shared" si="5"/>
        <v>1438.32</v>
      </c>
      <c r="AL111" s="272">
        <v>0</v>
      </c>
      <c r="AM111" s="212">
        <v>0</v>
      </c>
      <c r="AN111" s="269">
        <v>26</v>
      </c>
      <c r="AO111" s="217">
        <f t="shared" si="12"/>
        <v>1438.32</v>
      </c>
      <c r="AP111" s="232"/>
      <c r="AQ111" s="229"/>
      <c r="AR111" s="212">
        <v>55.32</v>
      </c>
      <c r="AS111" s="212">
        <f t="shared" si="3"/>
        <v>0</v>
      </c>
      <c r="AT111" s="247">
        <f t="shared" si="9"/>
        <v>26</v>
      </c>
      <c r="AU111" s="228">
        <f t="shared" si="4"/>
        <v>1438.32</v>
      </c>
      <c r="AV111" s="279">
        <v>26</v>
      </c>
    </row>
    <row r="112" spans="1:48" s="62" customFormat="1" ht="38.25">
      <c r="A112" s="59"/>
      <c r="B112" s="60"/>
      <c r="C112" s="60"/>
      <c r="D112" s="22"/>
      <c r="E112" s="79"/>
      <c r="F112" s="632" t="s">
        <v>339</v>
      </c>
      <c r="G112" s="222" t="s">
        <v>340</v>
      </c>
      <c r="H112" s="193"/>
      <c r="I112" s="193"/>
      <c r="J112" s="193"/>
      <c r="K112" s="193"/>
      <c r="L112" s="243"/>
      <c r="M112" s="242"/>
      <c r="N112" s="243"/>
      <c r="O112" s="193"/>
      <c r="P112" s="243"/>
      <c r="Q112" s="193"/>
      <c r="R112" s="243"/>
      <c r="S112" s="193"/>
      <c r="T112" s="243"/>
      <c r="U112" s="607" t="s">
        <v>341</v>
      </c>
      <c r="V112" s="608"/>
      <c r="W112" s="609"/>
      <c r="X112" s="610"/>
      <c r="Y112" s="611"/>
      <c r="Z112" s="610"/>
      <c r="AA112" s="610"/>
      <c r="AB112" s="22"/>
      <c r="AC112" s="170"/>
      <c r="AD112" s="209"/>
      <c r="AE112" s="194"/>
      <c r="AF112" s="209"/>
      <c r="AG112" s="194"/>
      <c r="AH112" s="209"/>
      <c r="AI112" s="194"/>
      <c r="AJ112" s="232">
        <v>37</v>
      </c>
      <c r="AK112" s="170"/>
      <c r="AL112" s="272"/>
      <c r="AM112" s="212"/>
      <c r="AN112" s="269"/>
      <c r="AO112" s="217"/>
      <c r="AP112" s="232"/>
      <c r="AQ112" s="229"/>
      <c r="AR112" s="212"/>
      <c r="AS112" s="212"/>
      <c r="AT112" s="247">
        <f t="shared" si="9"/>
        <v>37</v>
      </c>
      <c r="AU112" s="228"/>
      <c r="AV112" s="279">
        <v>37</v>
      </c>
    </row>
    <row r="113" spans="1:48" s="62" customFormat="1" ht="38.25">
      <c r="A113" s="59"/>
      <c r="B113" s="60"/>
      <c r="C113" s="60"/>
      <c r="D113" s="22"/>
      <c r="E113" s="79"/>
      <c r="F113" s="632" t="s">
        <v>339</v>
      </c>
      <c r="G113" s="222" t="s">
        <v>340</v>
      </c>
      <c r="H113" s="193"/>
      <c r="I113" s="193"/>
      <c r="J113" s="193"/>
      <c r="K113" s="193"/>
      <c r="L113" s="243"/>
      <c r="M113" s="242"/>
      <c r="N113" s="243"/>
      <c r="O113" s="193"/>
      <c r="P113" s="243"/>
      <c r="Q113" s="193"/>
      <c r="R113" s="243"/>
      <c r="S113" s="193"/>
      <c r="T113" s="243"/>
      <c r="U113" s="607" t="s">
        <v>345</v>
      </c>
      <c r="V113" s="608"/>
      <c r="W113" s="609"/>
      <c r="X113" s="610"/>
      <c r="Y113" s="611"/>
      <c r="Z113" s="610"/>
      <c r="AA113" s="610"/>
      <c r="AB113" s="22"/>
      <c r="AC113" s="170"/>
      <c r="AD113" s="209"/>
      <c r="AE113" s="194"/>
      <c r="AF113" s="209"/>
      <c r="AG113" s="194"/>
      <c r="AH113" s="209"/>
      <c r="AI113" s="194"/>
      <c r="AJ113" s="232">
        <v>36</v>
      </c>
      <c r="AK113" s="170"/>
      <c r="AL113" s="272"/>
      <c r="AM113" s="212"/>
      <c r="AN113" s="269"/>
      <c r="AO113" s="217"/>
      <c r="AP113" s="232"/>
      <c r="AQ113" s="229"/>
      <c r="AR113" s="212"/>
      <c r="AS113" s="212"/>
      <c r="AT113" s="247">
        <f t="shared" si="9"/>
        <v>36</v>
      </c>
      <c r="AU113" s="228"/>
      <c r="AV113" s="279">
        <v>36</v>
      </c>
    </row>
    <row r="114" spans="1:48" s="62" customFormat="1" ht="38.25">
      <c r="A114" s="59"/>
      <c r="B114" s="60"/>
      <c r="C114" s="427"/>
      <c r="D114" s="612"/>
      <c r="E114" s="606"/>
      <c r="F114" s="632" t="s">
        <v>339</v>
      </c>
      <c r="G114" s="222" t="s">
        <v>340</v>
      </c>
      <c r="H114" s="193"/>
      <c r="I114" s="193"/>
      <c r="J114" s="193"/>
      <c r="K114" s="193"/>
      <c r="L114" s="243"/>
      <c r="M114" s="242"/>
      <c r="N114" s="243"/>
      <c r="O114" s="193"/>
      <c r="P114" s="243"/>
      <c r="Q114" s="193"/>
      <c r="R114" s="243"/>
      <c r="S114" s="193"/>
      <c r="T114" s="243"/>
      <c r="U114" s="607" t="s">
        <v>370</v>
      </c>
      <c r="V114" s="608"/>
      <c r="W114" s="609"/>
      <c r="X114" s="610"/>
      <c r="Y114" s="611"/>
      <c r="Z114" s="610"/>
      <c r="AA114" s="610"/>
      <c r="AB114" s="22"/>
      <c r="AC114" s="170"/>
      <c r="AD114" s="209"/>
      <c r="AE114" s="194"/>
      <c r="AF114" s="209"/>
      <c r="AG114" s="194"/>
      <c r="AH114" s="209"/>
      <c r="AI114" s="194"/>
      <c r="AJ114" s="232">
        <v>39</v>
      </c>
      <c r="AK114" s="170"/>
      <c r="AL114" s="272"/>
      <c r="AM114" s="212"/>
      <c r="AN114" s="269"/>
      <c r="AO114" s="217"/>
      <c r="AP114" s="232"/>
      <c r="AQ114" s="229"/>
      <c r="AR114" s="212"/>
      <c r="AS114" s="212"/>
      <c r="AT114" s="247">
        <f t="shared" si="9"/>
        <v>39</v>
      </c>
      <c r="AU114" s="228"/>
      <c r="AV114" s="279">
        <v>39</v>
      </c>
    </row>
    <row r="115" spans="1:48" s="62" customFormat="1" ht="38.25">
      <c r="A115" s="59"/>
      <c r="B115" s="60"/>
      <c r="C115" s="427"/>
      <c r="D115" s="612"/>
      <c r="E115" s="606"/>
      <c r="F115" s="632" t="s">
        <v>339</v>
      </c>
      <c r="G115" s="222" t="s">
        <v>340</v>
      </c>
      <c r="H115" s="193"/>
      <c r="I115" s="193"/>
      <c r="J115" s="193"/>
      <c r="K115" s="193"/>
      <c r="L115" s="243"/>
      <c r="M115" s="242"/>
      <c r="N115" s="243"/>
      <c r="O115" s="193"/>
      <c r="P115" s="243"/>
      <c r="Q115" s="193"/>
      <c r="R115" s="243"/>
      <c r="S115" s="193"/>
      <c r="T115" s="243"/>
      <c r="U115" s="607" t="s">
        <v>371</v>
      </c>
      <c r="V115" s="608"/>
      <c r="W115" s="609"/>
      <c r="X115" s="610"/>
      <c r="Y115" s="611"/>
      <c r="Z115" s="610"/>
      <c r="AA115" s="610"/>
      <c r="AB115" s="22"/>
      <c r="AC115" s="170"/>
      <c r="AD115" s="209"/>
      <c r="AE115" s="194"/>
      <c r="AF115" s="209"/>
      <c r="AG115" s="194"/>
      <c r="AH115" s="209"/>
      <c r="AI115" s="194"/>
      <c r="AJ115" s="232">
        <v>39</v>
      </c>
      <c r="AK115" s="170"/>
      <c r="AL115" s="272"/>
      <c r="AM115" s="212"/>
      <c r="AN115" s="269"/>
      <c r="AO115" s="217"/>
      <c r="AP115" s="232"/>
      <c r="AQ115" s="229"/>
      <c r="AR115" s="212"/>
      <c r="AS115" s="212"/>
      <c r="AT115" s="247">
        <f t="shared" si="9"/>
        <v>39</v>
      </c>
      <c r="AU115" s="228"/>
      <c r="AV115" s="279">
        <v>39</v>
      </c>
    </row>
    <row r="116" spans="1:48" s="251" customFormat="1" ht="21" customHeight="1">
      <c r="A116" s="20" t="s">
        <v>11</v>
      </c>
      <c r="B116" s="20"/>
      <c r="C116" s="20"/>
      <c r="D116" s="695" t="s">
        <v>34</v>
      </c>
      <c r="E116" s="696"/>
      <c r="F116" s="697"/>
      <c r="G116" s="246"/>
      <c r="H116" s="246"/>
      <c r="I116" s="246"/>
      <c r="J116" s="246"/>
      <c r="K116" s="247">
        <f>SUM(K17:K111)</f>
        <v>24</v>
      </c>
      <c r="L116" s="248"/>
      <c r="M116" s="246"/>
      <c r="N116" s="249">
        <f>SUM(N17:N111)</f>
        <v>2156307.44</v>
      </c>
      <c r="O116" s="248"/>
      <c r="P116" s="249">
        <f>SUM(P17:P111)</f>
        <v>1298976.4000000001</v>
      </c>
      <c r="Q116" s="248"/>
      <c r="R116" s="249">
        <f>SUM(R17:R111)</f>
        <v>928054.79999999993</v>
      </c>
      <c r="S116" s="248"/>
      <c r="T116" s="249">
        <f>SUM(T17:T111)</f>
        <v>466648.98</v>
      </c>
      <c r="U116" s="291" t="s">
        <v>156</v>
      </c>
      <c r="V116" s="291" t="s">
        <v>156</v>
      </c>
      <c r="W116" s="291" t="s">
        <v>156</v>
      </c>
      <c r="X116" s="250" t="s">
        <v>156</v>
      </c>
      <c r="Y116" s="250" t="s">
        <v>156</v>
      </c>
      <c r="Z116" s="250" t="s">
        <v>156</v>
      </c>
      <c r="AA116" s="250" t="s">
        <v>156</v>
      </c>
      <c r="AB116" s="176">
        <f>SUM(AB17:AB53)</f>
        <v>140</v>
      </c>
      <c r="AC116" s="171">
        <f>SUM(AC17:AC81)</f>
        <v>77947.959999999992</v>
      </c>
      <c r="AD116" s="210">
        <f t="shared" ref="AD116:AQ116" si="13">SUM(AD17:AD111)</f>
        <v>4404</v>
      </c>
      <c r="AE116" s="195">
        <f t="shared" si="13"/>
        <v>925803.50999999989</v>
      </c>
      <c r="AF116" s="210">
        <f t="shared" si="13"/>
        <v>0</v>
      </c>
      <c r="AG116" s="195">
        <f t="shared" si="13"/>
        <v>0</v>
      </c>
      <c r="AH116" s="210">
        <f t="shared" si="13"/>
        <v>0</v>
      </c>
      <c r="AI116" s="195">
        <f t="shared" si="13"/>
        <v>0</v>
      </c>
      <c r="AJ116" s="210">
        <f>SUM(AJ17:AJ115)</f>
        <v>10528</v>
      </c>
      <c r="AK116" s="175">
        <f t="shared" si="13"/>
        <v>925803.50999999989</v>
      </c>
      <c r="AL116" s="213">
        <f t="shared" si="13"/>
        <v>742</v>
      </c>
      <c r="AM116" s="214">
        <f t="shared" si="13"/>
        <v>175808.55000000005</v>
      </c>
      <c r="AN116" s="218">
        <f t="shared" si="13"/>
        <v>3802</v>
      </c>
      <c r="AO116" s="219">
        <f t="shared" si="13"/>
        <v>811349.99000000011</v>
      </c>
      <c r="AP116" s="286">
        <f t="shared" si="13"/>
        <v>0</v>
      </c>
      <c r="AQ116" s="287">
        <f t="shared" si="13"/>
        <v>0</v>
      </c>
      <c r="AR116" s="226" t="s">
        <v>156</v>
      </c>
      <c r="AS116" s="226">
        <f>SUM(AS17:AS111)</f>
        <v>0</v>
      </c>
      <c r="AT116" s="227">
        <f>SUM(AT17:AT115)</f>
        <v>7146</v>
      </c>
      <c r="AU116" s="228">
        <f>SUM(AU17:AU111)</f>
        <v>291057.28000000003</v>
      </c>
      <c r="AV116" s="510">
        <f>SUM(AV17:AV115)</f>
        <v>7146</v>
      </c>
    </row>
    <row r="117" spans="1:48" s="336" customFormat="1" ht="21" customHeight="1">
      <c r="A117" s="20"/>
      <c r="B117" s="20"/>
      <c r="C117" s="20"/>
      <c r="D117" s="294"/>
      <c r="E117" s="294"/>
      <c r="F117" s="294"/>
      <c r="G117" s="330"/>
      <c r="H117" s="330"/>
      <c r="I117" s="330"/>
      <c r="J117" s="330"/>
      <c r="K117" s="331"/>
      <c r="L117" s="332"/>
      <c r="M117" s="330"/>
      <c r="N117" s="333"/>
      <c r="O117" s="332"/>
      <c r="P117" s="333"/>
      <c r="Q117" s="332"/>
      <c r="R117" s="333"/>
      <c r="S117" s="332"/>
      <c r="T117" s="333"/>
      <c r="U117" s="295"/>
      <c r="V117" s="295"/>
      <c r="W117" s="295"/>
      <c r="X117" s="295"/>
      <c r="Y117" s="295"/>
      <c r="Z117" s="295"/>
      <c r="AA117" s="295"/>
      <c r="AB117" s="296"/>
      <c r="AC117" s="297"/>
      <c r="AD117" s="296"/>
      <c r="AE117" s="297"/>
      <c r="AF117" s="296"/>
      <c r="AG117" s="297"/>
      <c r="AH117" s="296"/>
      <c r="AI117" s="297"/>
      <c r="AJ117" s="478"/>
      <c r="AK117" s="299"/>
      <c r="AL117" s="334"/>
      <c r="AM117" s="297"/>
      <c r="AN117" s="296"/>
      <c r="AO117" s="297"/>
      <c r="AP117" s="298"/>
      <c r="AQ117" s="335"/>
      <c r="AR117" s="333"/>
      <c r="AS117" s="333"/>
      <c r="AT117" s="331"/>
      <c r="AU117" s="333"/>
      <c r="AV117" s="331"/>
    </row>
    <row r="118" spans="1:48" s="336" customFormat="1" ht="21" hidden="1" customHeight="1">
      <c r="A118" s="20"/>
      <c r="B118" s="20"/>
      <c r="C118" s="20"/>
      <c r="D118" s="294"/>
      <c r="E118" s="294"/>
      <c r="F118" s="294"/>
      <c r="G118" s="330"/>
      <c r="H118" s="330"/>
      <c r="I118" s="330"/>
      <c r="J118" s="330"/>
      <c r="K118" s="331"/>
      <c r="L118" s="332"/>
      <c r="M118" s="330"/>
      <c r="N118" s="333"/>
      <c r="O118" s="332"/>
      <c r="P118" s="333"/>
      <c r="Q118" s="332"/>
      <c r="R118" s="333"/>
      <c r="S118" s="332"/>
      <c r="T118" s="333"/>
      <c r="U118" s="295"/>
      <c r="V118" s="295"/>
      <c r="W118" s="295"/>
      <c r="X118" s="295"/>
      <c r="Y118" s="295"/>
      <c r="Z118" s="295"/>
      <c r="AA118" s="295"/>
      <c r="AB118" s="296"/>
      <c r="AC118" s="297"/>
      <c r="AD118" s="296"/>
      <c r="AE118" s="297"/>
      <c r="AF118" s="296"/>
      <c r="AG118" s="297"/>
      <c r="AH118" s="296"/>
      <c r="AI118" s="297"/>
      <c r="AJ118" s="478"/>
      <c r="AK118" s="299"/>
      <c r="AL118" s="334"/>
      <c r="AM118" s="297"/>
      <c r="AN118" s="296"/>
      <c r="AO118" s="297"/>
      <c r="AP118" s="298"/>
      <c r="AQ118" s="335"/>
      <c r="AR118" s="333"/>
      <c r="AS118" s="333"/>
      <c r="AT118" s="331"/>
      <c r="AU118" s="333"/>
      <c r="AV118" s="331"/>
    </row>
    <row r="119" spans="1:48" s="292" customFormat="1" ht="20.25" hidden="1">
      <c r="A119" s="301"/>
      <c r="B119" s="301"/>
      <c r="C119" s="301"/>
      <c r="D119" s="302"/>
      <c r="E119" s="301"/>
      <c r="F119" s="303" t="s">
        <v>205</v>
      </c>
      <c r="G119" s="303"/>
      <c r="H119" s="303" t="s">
        <v>208</v>
      </c>
      <c r="I119" s="303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3"/>
      <c r="V119" s="303"/>
      <c r="X119" s="303"/>
      <c r="Y119" s="303"/>
      <c r="Z119" s="303"/>
      <c r="AA119" s="303" t="s">
        <v>208</v>
      </c>
      <c r="AB119" s="303"/>
      <c r="AC119" s="303"/>
      <c r="AD119" s="303"/>
      <c r="AE119" s="303"/>
      <c r="AF119" s="303"/>
      <c r="AG119" s="303"/>
      <c r="AH119" s="303"/>
      <c r="AI119" s="303"/>
      <c r="AJ119" s="479"/>
      <c r="AK119" s="303"/>
      <c r="AL119" s="301"/>
      <c r="AM119" s="303"/>
      <c r="AN119" s="305"/>
      <c r="AO119" s="306"/>
      <c r="AP119" s="307"/>
      <c r="AQ119" s="302"/>
      <c r="AR119" s="308"/>
      <c r="AS119" s="308"/>
      <c r="AT119" s="302"/>
      <c r="AU119" s="302"/>
      <c r="AV119" s="302"/>
    </row>
    <row r="120" spans="1:48" s="292" customFormat="1" ht="20.25" hidden="1">
      <c r="A120" s="301"/>
      <c r="B120" s="301"/>
      <c r="C120" s="301"/>
      <c r="D120" s="302"/>
      <c r="E120" s="301"/>
      <c r="F120" s="303"/>
      <c r="G120" s="303"/>
      <c r="H120" s="303"/>
      <c r="I120" s="303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3"/>
      <c r="V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479"/>
      <c r="AK120" s="303"/>
      <c r="AL120" s="301"/>
      <c r="AM120" s="303"/>
      <c r="AN120" s="305"/>
      <c r="AO120" s="306"/>
      <c r="AP120" s="307"/>
      <c r="AQ120" s="302"/>
      <c r="AR120" s="308"/>
      <c r="AS120" s="308"/>
      <c r="AT120" s="302"/>
      <c r="AU120" s="302"/>
      <c r="AV120" s="302"/>
    </row>
    <row r="121" spans="1:48" s="292" customFormat="1" ht="20.25" hidden="1">
      <c r="A121" s="301"/>
      <c r="B121" s="301"/>
      <c r="C121" s="301"/>
      <c r="D121" s="302"/>
      <c r="E121" s="301"/>
      <c r="F121" s="303"/>
      <c r="G121" s="303"/>
      <c r="H121" s="303"/>
      <c r="I121" s="303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3"/>
      <c r="V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479"/>
      <c r="AK121" s="303"/>
      <c r="AL121" s="301"/>
      <c r="AM121" s="303"/>
      <c r="AN121" s="305"/>
      <c r="AO121" s="306"/>
      <c r="AP121" s="307"/>
      <c r="AQ121" s="302"/>
      <c r="AR121" s="308"/>
      <c r="AS121" s="308"/>
      <c r="AT121" s="302"/>
      <c r="AU121" s="302"/>
      <c r="AV121" s="302"/>
    </row>
    <row r="122" spans="1:48" s="292" customFormat="1" ht="15" hidden="1" customHeight="1">
      <c r="A122" s="309"/>
      <c r="B122" s="309"/>
      <c r="C122" s="309"/>
      <c r="D122" s="302"/>
      <c r="E122" s="309"/>
      <c r="F122" s="310"/>
      <c r="G122" s="310"/>
      <c r="H122" s="308"/>
      <c r="I122" s="308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8"/>
      <c r="V122" s="311"/>
      <c r="AA122" s="311"/>
      <c r="AJ122" s="480"/>
      <c r="AK122" s="312"/>
      <c r="AL122" s="309"/>
      <c r="AM122" s="313"/>
      <c r="AN122" s="305"/>
      <c r="AO122" s="306"/>
      <c r="AP122" s="307"/>
      <c r="AQ122" s="302"/>
      <c r="AR122" s="308"/>
      <c r="AS122" s="308"/>
      <c r="AT122" s="302"/>
      <c r="AU122" s="302"/>
      <c r="AV122" s="302"/>
    </row>
    <row r="123" spans="1:48" s="292" customFormat="1" ht="18" hidden="1" customHeight="1">
      <c r="A123" s="314" t="s">
        <v>12</v>
      </c>
      <c r="B123" s="314"/>
      <c r="C123" s="314"/>
      <c r="D123" s="315"/>
      <c r="E123" s="314"/>
      <c r="F123" s="316" t="s">
        <v>206</v>
      </c>
      <c r="G123" s="316"/>
      <c r="H123" s="736" t="s">
        <v>209</v>
      </c>
      <c r="I123" s="736"/>
      <c r="J123" s="736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8"/>
      <c r="V123" s="319"/>
      <c r="X123" s="303"/>
      <c r="Y123" s="316"/>
      <c r="Z123" s="316"/>
      <c r="AA123" s="320" t="s">
        <v>209</v>
      </c>
      <c r="AB123" s="316"/>
      <c r="AC123" s="316"/>
      <c r="AD123" s="316"/>
      <c r="AE123" s="316"/>
      <c r="AF123" s="316"/>
      <c r="AG123" s="316"/>
      <c r="AH123" s="316"/>
      <c r="AI123" s="316"/>
      <c r="AJ123" s="481"/>
      <c r="AK123" s="316"/>
      <c r="AL123" s="314"/>
      <c r="AM123" s="316"/>
      <c r="AN123" s="314"/>
      <c r="AO123" s="321"/>
      <c r="AP123" s="307"/>
      <c r="AQ123" s="302"/>
      <c r="AR123" s="308"/>
      <c r="AS123" s="308"/>
      <c r="AT123" s="302"/>
      <c r="AU123" s="302"/>
      <c r="AV123" s="302"/>
    </row>
    <row r="124" spans="1:48" s="62" customFormat="1" ht="18.75" hidden="1">
      <c r="A124" s="11"/>
      <c r="B124" s="11"/>
      <c r="C124" s="11"/>
      <c r="D124" s="255"/>
      <c r="E124" s="11"/>
      <c r="F124" s="322"/>
      <c r="G124" s="322"/>
      <c r="H124" s="322"/>
      <c r="I124" s="322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482"/>
      <c r="AK124" s="322"/>
      <c r="AL124" s="324"/>
      <c r="AM124" s="322"/>
      <c r="AN124" s="281"/>
      <c r="AO124" s="325"/>
      <c r="AP124" s="326"/>
      <c r="AQ124" s="662"/>
      <c r="AR124" s="255"/>
      <c r="AS124" s="255"/>
      <c r="AT124" s="662"/>
      <c r="AU124" s="662"/>
      <c r="AV124" s="662"/>
    </row>
    <row r="125" spans="1:48" s="103" customFormat="1" ht="57.75" hidden="1" customHeight="1">
      <c r="A125" s="11"/>
      <c r="B125" s="11"/>
      <c r="C125" s="11"/>
      <c r="D125" s="255"/>
      <c r="E125" s="720" t="s">
        <v>207</v>
      </c>
      <c r="F125" s="720"/>
      <c r="G125" s="327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9"/>
      <c r="W125" s="329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483"/>
      <c r="AK125" s="11"/>
      <c r="AL125" s="281"/>
      <c r="AM125" s="11"/>
      <c r="AN125" s="281"/>
      <c r="AP125" s="326"/>
      <c r="AQ125" s="662"/>
      <c r="AR125" s="255"/>
      <c r="AS125" s="255"/>
      <c r="AT125" s="662"/>
      <c r="AU125" s="662"/>
      <c r="AV125" s="662"/>
    </row>
  </sheetData>
  <mergeCells count="40">
    <mergeCell ref="X14:Y15"/>
    <mergeCell ref="Z14:AA15"/>
    <mergeCell ref="O14:T14"/>
    <mergeCell ref="AT15:AU15"/>
    <mergeCell ref="AB14:AC15"/>
    <mergeCell ref="AD14:AI14"/>
    <mergeCell ref="AJ14:AK15"/>
    <mergeCell ref="AL14:AM15"/>
    <mergeCell ref="D116:F116"/>
    <mergeCell ref="H123:J123"/>
    <mergeCell ref="E125:F12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U14:U16"/>
    <mergeCell ref="V14:W15"/>
    <mergeCell ref="D11:AV11"/>
    <mergeCell ref="E6:AT6"/>
    <mergeCell ref="D7:AV7"/>
    <mergeCell ref="D8:AV8"/>
    <mergeCell ref="D9:AV9"/>
    <mergeCell ref="D10:AV10"/>
    <mergeCell ref="AQ14:AS15"/>
    <mergeCell ref="AT14:AV14"/>
    <mergeCell ref="O15:P15"/>
    <mergeCell ref="Q15:R15"/>
    <mergeCell ref="S15:T15"/>
    <mergeCell ref="AD15:AE15"/>
    <mergeCell ref="AF15:AG15"/>
    <mergeCell ref="AH15:AI15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25"/>
  <sheetViews>
    <sheetView view="pageBreakPreview" topLeftCell="C101" zoomScale="70" zoomScaleSheetLayoutView="70" workbookViewId="0">
      <selection activeCell="AV116" sqref="AV116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68"/>
      <c r="AR1" s="255"/>
      <c r="AS1" s="255"/>
      <c r="AT1" s="668"/>
      <c r="AU1" s="668"/>
      <c r="AV1" s="668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68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68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373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68"/>
      <c r="AR12" s="255"/>
      <c r="AS12" s="255"/>
      <c r="AT12" s="669"/>
      <c r="AU12" s="669"/>
      <c r="AV12" s="669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372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69"/>
      <c r="D16" s="748"/>
      <c r="E16" s="685"/>
      <c r="F16" s="685"/>
      <c r="G16" s="202"/>
      <c r="H16" s="201"/>
      <c r="I16" s="201"/>
      <c r="J16" s="241"/>
      <c r="K16" s="241"/>
      <c r="L16" s="241"/>
      <c r="M16" s="667" t="s">
        <v>77</v>
      </c>
      <c r="N16" s="667" t="s">
        <v>78</v>
      </c>
      <c r="O16" s="667" t="s">
        <v>77</v>
      </c>
      <c r="P16" s="667" t="s">
        <v>78</v>
      </c>
      <c r="Q16" s="667" t="s">
        <v>77</v>
      </c>
      <c r="R16" s="667" t="s">
        <v>78</v>
      </c>
      <c r="S16" s="667" t="s">
        <v>77</v>
      </c>
      <c r="T16" s="667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66" t="s">
        <v>77</v>
      </c>
      <c r="AE16" s="666" t="s">
        <v>78</v>
      </c>
      <c r="AF16" s="205" t="s">
        <v>77</v>
      </c>
      <c r="AG16" s="205" t="s">
        <v>78</v>
      </c>
      <c r="AH16" s="666" t="s">
        <v>77</v>
      </c>
      <c r="AI16" s="666" t="s">
        <v>78</v>
      </c>
      <c r="AJ16" s="207" t="s">
        <v>96</v>
      </c>
      <c r="AK16" s="96" t="s">
        <v>19</v>
      </c>
      <c r="AL16" s="664" t="s">
        <v>96</v>
      </c>
      <c r="AM16" s="664" t="s">
        <v>19</v>
      </c>
      <c r="AN16" s="216" t="s">
        <v>96</v>
      </c>
      <c r="AO16" s="216" t="s">
        <v>19</v>
      </c>
      <c r="AP16" s="207" t="s">
        <v>96</v>
      </c>
      <c r="AQ16" s="664" t="s">
        <v>96</v>
      </c>
      <c r="AR16" s="664" t="s">
        <v>107</v>
      </c>
      <c r="AS16" s="664" t="s">
        <v>19</v>
      </c>
      <c r="AT16" s="665" t="s">
        <v>96</v>
      </c>
      <c r="AU16" s="665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111" si="3">AQ18*AR18</f>
        <v>0</v>
      </c>
      <c r="AT18" s="233">
        <f>AV18</f>
        <v>0</v>
      </c>
      <c r="AU18" s="386">
        <f t="shared" ref="AU18:AU111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111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93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1</v>
      </c>
      <c r="AU27" s="228">
        <f>AT27*AR27</f>
        <v>758.18</v>
      </c>
      <c r="AV27" s="279">
        <v>1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416</v>
      </c>
      <c r="AU32" s="228"/>
      <c r="AV32" s="279">
        <v>416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0</v>
      </c>
      <c r="AU34" s="228"/>
      <c r="AV34" s="279">
        <v>0</v>
      </c>
    </row>
    <row r="35" spans="1:48" s="62" customFormat="1" ht="24.75" customHeight="1">
      <c r="A35" s="59"/>
      <c r="B35" s="60"/>
      <c r="C35" s="427"/>
      <c r="D35" s="428"/>
      <c r="E35" s="79"/>
      <c r="F35" s="161" t="s">
        <v>41</v>
      </c>
      <c r="G35" s="222" t="s">
        <v>166</v>
      </c>
      <c r="H35" s="161"/>
      <c r="I35" s="222"/>
      <c r="J35" s="161"/>
      <c r="K35" s="222"/>
      <c r="L35" s="161"/>
      <c r="M35" s="222"/>
      <c r="N35" s="161"/>
      <c r="O35" s="222"/>
      <c r="P35" s="161"/>
      <c r="Q35" s="222"/>
      <c r="R35" s="161"/>
      <c r="S35" s="222"/>
      <c r="T35" s="161"/>
      <c r="U35" s="203" t="s">
        <v>364</v>
      </c>
      <c r="V35" s="115"/>
      <c r="W35" s="114"/>
      <c r="X35" s="193"/>
      <c r="Y35" s="200"/>
      <c r="Z35" s="193"/>
      <c r="AA35" s="193"/>
      <c r="AB35" s="35"/>
      <c r="AC35" s="170"/>
      <c r="AD35" s="209"/>
      <c r="AE35" s="194"/>
      <c r="AF35" s="209"/>
      <c r="AG35" s="194"/>
      <c r="AH35" s="209"/>
      <c r="AI35" s="194"/>
      <c r="AJ35" s="232">
        <v>56</v>
      </c>
      <c r="AK35" s="170"/>
      <c r="AL35" s="272"/>
      <c r="AM35" s="212"/>
      <c r="AN35" s="269"/>
      <c r="AO35" s="217"/>
      <c r="AP35" s="232"/>
      <c r="AQ35" s="229"/>
      <c r="AR35" s="212"/>
      <c r="AS35" s="212"/>
      <c r="AT35" s="247">
        <f t="shared" si="6"/>
        <v>56</v>
      </c>
      <c r="AU35" s="228"/>
      <c r="AV35" s="279">
        <v>56</v>
      </c>
    </row>
    <row r="36" spans="1:48" s="62" customFormat="1" ht="24.75" customHeight="1">
      <c r="A36" s="59"/>
      <c r="B36" s="60"/>
      <c r="C36" s="427"/>
      <c r="D36" s="428"/>
      <c r="E36" s="79"/>
      <c r="F36" s="161" t="s">
        <v>41</v>
      </c>
      <c r="G36" s="222" t="s">
        <v>166</v>
      </c>
      <c r="H36" s="161"/>
      <c r="I36" s="222"/>
      <c r="J36" s="161"/>
      <c r="K36" s="222"/>
      <c r="L36" s="161"/>
      <c r="M36" s="222"/>
      <c r="N36" s="161"/>
      <c r="O36" s="222"/>
      <c r="P36" s="161"/>
      <c r="Q36" s="222"/>
      <c r="R36" s="161"/>
      <c r="S36" s="222"/>
      <c r="T36" s="161"/>
      <c r="U36" s="203" t="s">
        <v>367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364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364</v>
      </c>
      <c r="AU36" s="228"/>
      <c r="AV36" s="279">
        <v>364</v>
      </c>
    </row>
    <row r="37" spans="1:48" s="62" customFormat="1" ht="31.5">
      <c r="A37" s="59"/>
      <c r="B37" s="60"/>
      <c r="C37" s="60"/>
      <c r="D37" s="22"/>
      <c r="E37" s="79" t="s">
        <v>24</v>
      </c>
      <c r="F37" s="51" t="s">
        <v>53</v>
      </c>
      <c r="G37" s="275" t="s">
        <v>168</v>
      </c>
      <c r="H37" s="115" t="s">
        <v>91</v>
      </c>
      <c r="I37" s="115" t="s">
        <v>91</v>
      </c>
      <c r="J37" s="115">
        <v>360</v>
      </c>
      <c r="K37" s="115">
        <v>2</v>
      </c>
      <c r="L37" s="276">
        <v>533.03</v>
      </c>
      <c r="M37" s="277">
        <f>J37*K37</f>
        <v>720</v>
      </c>
      <c r="N37" s="276">
        <f>L37*M37</f>
        <v>383781.6</v>
      </c>
      <c r="O37" s="115">
        <v>180</v>
      </c>
      <c r="P37" s="276">
        <v>87354</v>
      </c>
      <c r="Q37" s="115">
        <v>720</v>
      </c>
      <c r="R37" s="276">
        <v>475977.6</v>
      </c>
      <c r="S37" s="115">
        <v>420</v>
      </c>
      <c r="T37" s="276">
        <v>223872.6</v>
      </c>
      <c r="U37" s="278" t="s">
        <v>268</v>
      </c>
      <c r="V37" s="115">
        <v>834</v>
      </c>
      <c r="W37" s="114">
        <v>43222</v>
      </c>
      <c r="X37" s="115" t="s">
        <v>162</v>
      </c>
      <c r="Y37" s="221">
        <v>43242</v>
      </c>
      <c r="Z37" s="115"/>
      <c r="AA37" s="115"/>
      <c r="AB37" s="35">
        <v>0</v>
      </c>
      <c r="AC37" s="170">
        <v>0</v>
      </c>
      <c r="AD37" s="208">
        <v>39</v>
      </c>
      <c r="AE37" s="170">
        <v>20468.37</v>
      </c>
      <c r="AF37" s="208"/>
      <c r="AG37" s="170"/>
      <c r="AH37" s="208"/>
      <c r="AI37" s="170"/>
      <c r="AJ37" s="233">
        <v>2</v>
      </c>
      <c r="AK37" s="170">
        <f t="shared" si="5"/>
        <v>20468.37</v>
      </c>
      <c r="AL37" s="270">
        <v>0</v>
      </c>
      <c r="AM37" s="170">
        <v>0</v>
      </c>
      <c r="AN37" s="270">
        <v>39</v>
      </c>
      <c r="AO37" s="170">
        <f t="shared" si="2"/>
        <v>20468.37</v>
      </c>
      <c r="AP37" s="233"/>
      <c r="AQ37" s="233"/>
      <c r="AR37" s="170">
        <v>524.83000000000004</v>
      </c>
      <c r="AS37" s="170">
        <f t="shared" si="3"/>
        <v>0</v>
      </c>
      <c r="AT37" s="233">
        <f t="shared" si="6"/>
        <v>0</v>
      </c>
      <c r="AU37" s="386">
        <f t="shared" si="4"/>
        <v>0</v>
      </c>
      <c r="AV37" s="233">
        <v>0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268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307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482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415</v>
      </c>
      <c r="AU39" s="228"/>
      <c r="AV39" s="279">
        <v>415</v>
      </c>
    </row>
    <row r="40" spans="1:48" s="62" customFormat="1" ht="31.5">
      <c r="A40" s="59"/>
      <c r="B40" s="60"/>
      <c r="C40" s="60"/>
      <c r="D40" s="22"/>
      <c r="E40" s="79"/>
      <c r="F40" s="51" t="s">
        <v>53</v>
      </c>
      <c r="G40" s="275" t="s">
        <v>168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313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46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31.5">
      <c r="A41" s="59"/>
      <c r="B41" s="60"/>
      <c r="C41" s="60"/>
      <c r="D41" s="22"/>
      <c r="E41" s="79"/>
      <c r="F41" s="179" t="s">
        <v>53</v>
      </c>
      <c r="G41" s="222" t="s">
        <v>168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316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148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0</v>
      </c>
      <c r="AU41" s="228"/>
      <c r="AV41" s="279">
        <v>0</v>
      </c>
    </row>
    <row r="42" spans="1:48" s="62" customFormat="1" ht="31.5">
      <c r="A42" s="59"/>
      <c r="B42" s="60"/>
      <c r="C42" s="427"/>
      <c r="D42" s="428"/>
      <c r="E42" s="79"/>
      <c r="F42" s="179" t="s">
        <v>53</v>
      </c>
      <c r="G42" s="222" t="s">
        <v>168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365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42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42</v>
      </c>
      <c r="AU42" s="228"/>
      <c r="AV42" s="279">
        <v>42</v>
      </c>
    </row>
    <row r="43" spans="1:48" s="62" customFormat="1" ht="31.5">
      <c r="A43" s="59"/>
      <c r="B43" s="60"/>
      <c r="C43" s="427"/>
      <c r="D43" s="428"/>
      <c r="E43" s="79"/>
      <c r="F43" s="179" t="s">
        <v>53</v>
      </c>
      <c r="G43" s="222" t="s">
        <v>168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368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378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378</v>
      </c>
      <c r="AU43" s="228"/>
      <c r="AV43" s="279">
        <v>378</v>
      </c>
    </row>
    <row r="44" spans="1:48" s="62" customFormat="1" ht="26.25" customHeight="1">
      <c r="A44" s="59"/>
      <c r="B44" s="60"/>
      <c r="C44" s="60"/>
      <c r="D44" s="22"/>
      <c r="E44" s="79"/>
      <c r="F44" s="51" t="s">
        <v>43</v>
      </c>
      <c r="G44" s="275" t="s">
        <v>163</v>
      </c>
      <c r="H44" s="115"/>
      <c r="I44" s="115"/>
      <c r="J44" s="115"/>
      <c r="K44" s="115"/>
      <c r="L44" s="276"/>
      <c r="M44" s="277"/>
      <c r="N44" s="276"/>
      <c r="O44" s="115"/>
      <c r="P44" s="276"/>
      <c r="Q44" s="115"/>
      <c r="R44" s="276"/>
      <c r="S44" s="115"/>
      <c r="T44" s="276"/>
      <c r="U44" s="278" t="s">
        <v>260</v>
      </c>
      <c r="V44" s="115"/>
      <c r="W44" s="114"/>
      <c r="X44" s="115"/>
      <c r="Y44" s="221"/>
      <c r="Z44" s="115"/>
      <c r="AA44" s="115"/>
      <c r="AB44" s="35"/>
      <c r="AC44" s="170"/>
      <c r="AD44" s="208"/>
      <c r="AE44" s="170"/>
      <c r="AF44" s="208"/>
      <c r="AG44" s="170"/>
      <c r="AH44" s="208"/>
      <c r="AI44" s="170"/>
      <c r="AJ44" s="233">
        <v>50</v>
      </c>
      <c r="AK44" s="170"/>
      <c r="AL44" s="270"/>
      <c r="AM44" s="170"/>
      <c r="AN44" s="270"/>
      <c r="AO44" s="170"/>
      <c r="AP44" s="233"/>
      <c r="AQ44" s="233"/>
      <c r="AR44" s="170"/>
      <c r="AS44" s="170"/>
      <c r="AT44" s="233">
        <f t="shared" si="6"/>
        <v>0</v>
      </c>
      <c r="AU44" s="386"/>
      <c r="AV44" s="233">
        <v>0</v>
      </c>
    </row>
    <row r="45" spans="1:48" s="62" customFormat="1" ht="26.25" customHeight="1">
      <c r="A45" s="59"/>
      <c r="B45" s="60"/>
      <c r="C45" s="60"/>
      <c r="D45" s="22"/>
      <c r="E45" s="79"/>
      <c r="F45" s="51" t="s">
        <v>43</v>
      </c>
      <c r="G45" s="275" t="s">
        <v>163</v>
      </c>
      <c r="H45" s="115"/>
      <c r="I45" s="115"/>
      <c r="J45" s="115"/>
      <c r="K45" s="115"/>
      <c r="L45" s="276"/>
      <c r="M45" s="277"/>
      <c r="N45" s="276"/>
      <c r="O45" s="115"/>
      <c r="P45" s="276"/>
      <c r="Q45" s="115"/>
      <c r="R45" s="276"/>
      <c r="S45" s="115"/>
      <c r="T45" s="276"/>
      <c r="U45" s="278" t="s">
        <v>261</v>
      </c>
      <c r="V45" s="115"/>
      <c r="W45" s="114"/>
      <c r="X45" s="115"/>
      <c r="Y45" s="221"/>
      <c r="Z45" s="115"/>
      <c r="AA45" s="115"/>
      <c r="AB45" s="35"/>
      <c r="AC45" s="170"/>
      <c r="AD45" s="208"/>
      <c r="AE45" s="170"/>
      <c r="AF45" s="208"/>
      <c r="AG45" s="170"/>
      <c r="AH45" s="208"/>
      <c r="AI45" s="170"/>
      <c r="AJ45" s="233">
        <v>60</v>
      </c>
      <c r="AK45" s="170"/>
      <c r="AL45" s="270"/>
      <c r="AM45" s="170"/>
      <c r="AN45" s="270"/>
      <c r="AO45" s="170"/>
      <c r="AP45" s="233"/>
      <c r="AQ45" s="233"/>
      <c r="AR45" s="170"/>
      <c r="AS45" s="170"/>
      <c r="AT45" s="233">
        <f t="shared" si="6"/>
        <v>0</v>
      </c>
      <c r="AU45" s="386"/>
      <c r="AV45" s="233">
        <v>0</v>
      </c>
    </row>
    <row r="46" spans="1:48" s="62" customFormat="1" ht="26.25" customHeight="1">
      <c r="A46" s="59"/>
      <c r="B46" s="60"/>
      <c r="C46" s="60"/>
      <c r="D46" s="22"/>
      <c r="E46" s="79"/>
      <c r="F46" s="51" t="s">
        <v>43</v>
      </c>
      <c r="G46" s="275" t="s">
        <v>163</v>
      </c>
      <c r="H46" s="115"/>
      <c r="I46" s="115"/>
      <c r="J46" s="115"/>
      <c r="K46" s="115"/>
      <c r="L46" s="276"/>
      <c r="M46" s="277"/>
      <c r="N46" s="276"/>
      <c r="O46" s="115"/>
      <c r="P46" s="276"/>
      <c r="Q46" s="115"/>
      <c r="R46" s="276"/>
      <c r="S46" s="115"/>
      <c r="T46" s="276"/>
      <c r="U46" s="278" t="s">
        <v>282</v>
      </c>
      <c r="V46" s="115"/>
      <c r="W46" s="114"/>
      <c r="X46" s="115"/>
      <c r="Y46" s="221"/>
      <c r="Z46" s="115"/>
      <c r="AA46" s="115"/>
      <c r="AB46" s="35"/>
      <c r="AC46" s="170"/>
      <c r="AD46" s="208"/>
      <c r="AE46" s="170"/>
      <c r="AF46" s="208"/>
      <c r="AG46" s="170"/>
      <c r="AH46" s="208"/>
      <c r="AI46" s="170"/>
      <c r="AJ46" s="233">
        <v>45</v>
      </c>
      <c r="AK46" s="170"/>
      <c r="AL46" s="270"/>
      <c r="AM46" s="170"/>
      <c r="AN46" s="270"/>
      <c r="AO46" s="170"/>
      <c r="AP46" s="233"/>
      <c r="AQ46" s="233"/>
      <c r="AR46" s="170"/>
      <c r="AS46" s="170"/>
      <c r="AT46" s="233">
        <f t="shared" si="6"/>
        <v>0</v>
      </c>
      <c r="AU46" s="386"/>
      <c r="AV46" s="233">
        <v>0</v>
      </c>
    </row>
    <row r="47" spans="1:48" s="62" customFormat="1" ht="26.25" customHeight="1">
      <c r="A47" s="59"/>
      <c r="B47" s="60"/>
      <c r="C47" s="60"/>
      <c r="D47" s="22"/>
      <c r="E47" s="79"/>
      <c r="F47" s="51" t="s">
        <v>43</v>
      </c>
      <c r="G47" s="275" t="s">
        <v>163</v>
      </c>
      <c r="H47" s="115"/>
      <c r="I47" s="115"/>
      <c r="J47" s="115"/>
      <c r="K47" s="115"/>
      <c r="L47" s="276"/>
      <c r="M47" s="277"/>
      <c r="N47" s="276"/>
      <c r="O47" s="115"/>
      <c r="P47" s="276"/>
      <c r="Q47" s="115"/>
      <c r="R47" s="276"/>
      <c r="S47" s="115"/>
      <c r="T47" s="276"/>
      <c r="U47" s="278" t="s">
        <v>308</v>
      </c>
      <c r="V47" s="115"/>
      <c r="W47" s="114"/>
      <c r="X47" s="115"/>
      <c r="Y47" s="221"/>
      <c r="Z47" s="115"/>
      <c r="AA47" s="115"/>
      <c r="AB47" s="35"/>
      <c r="AC47" s="170"/>
      <c r="AD47" s="208"/>
      <c r="AE47" s="170"/>
      <c r="AF47" s="208"/>
      <c r="AG47" s="170"/>
      <c r="AH47" s="208"/>
      <c r="AI47" s="170"/>
      <c r="AJ47" s="233">
        <v>25</v>
      </c>
      <c r="AK47" s="170"/>
      <c r="AL47" s="270"/>
      <c r="AM47" s="170"/>
      <c r="AN47" s="270"/>
      <c r="AO47" s="170"/>
      <c r="AP47" s="233"/>
      <c r="AQ47" s="233"/>
      <c r="AR47" s="170"/>
      <c r="AS47" s="170"/>
      <c r="AT47" s="233">
        <f t="shared" si="6"/>
        <v>0</v>
      </c>
      <c r="AU47" s="386"/>
      <c r="AV47" s="233">
        <v>0</v>
      </c>
    </row>
    <row r="48" spans="1:48" s="62" customFormat="1" ht="26.25" customHeight="1">
      <c r="A48" s="59"/>
      <c r="B48" s="60"/>
      <c r="C48" s="60"/>
      <c r="D48" s="22"/>
      <c r="E48" s="79"/>
      <c r="F48" s="51" t="s">
        <v>43</v>
      </c>
      <c r="G48" s="275" t="s">
        <v>163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78" t="s">
        <v>317</v>
      </c>
      <c r="V48" s="115"/>
      <c r="W48" s="114"/>
      <c r="X48" s="115"/>
      <c r="Y48" s="221"/>
      <c r="Z48" s="115"/>
      <c r="AA48" s="115"/>
      <c r="AB48" s="35"/>
      <c r="AC48" s="170"/>
      <c r="AD48" s="208"/>
      <c r="AE48" s="170"/>
      <c r="AF48" s="208"/>
      <c r="AG48" s="170"/>
      <c r="AH48" s="208"/>
      <c r="AI48" s="170"/>
      <c r="AJ48" s="233">
        <v>5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33">
        <f t="shared" si="6"/>
        <v>0</v>
      </c>
      <c r="AU48" s="386"/>
      <c r="AV48" s="233">
        <v>0</v>
      </c>
    </row>
    <row r="49" spans="1:48" s="62" customFormat="1" ht="26.25" customHeight="1">
      <c r="A49" s="59"/>
      <c r="B49" s="60"/>
      <c r="C49" s="60"/>
      <c r="D49" s="22"/>
      <c r="E49" s="79"/>
      <c r="F49" s="51" t="s">
        <v>43</v>
      </c>
      <c r="G49" s="275" t="s">
        <v>163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78" t="s">
        <v>317</v>
      </c>
      <c r="V49" s="115"/>
      <c r="W49" s="114"/>
      <c r="X49" s="115"/>
      <c r="Y49" s="221"/>
      <c r="Z49" s="115"/>
      <c r="AA49" s="115"/>
      <c r="AB49" s="35"/>
      <c r="AC49" s="170"/>
      <c r="AD49" s="208"/>
      <c r="AE49" s="170"/>
      <c r="AF49" s="208"/>
      <c r="AG49" s="170"/>
      <c r="AH49" s="208"/>
      <c r="AI49" s="170"/>
      <c r="AJ49" s="233">
        <v>35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33">
        <f t="shared" si="6"/>
        <v>0</v>
      </c>
      <c r="AU49" s="386"/>
      <c r="AV49" s="233">
        <v>0</v>
      </c>
    </row>
    <row r="50" spans="1:48" s="62" customFormat="1" ht="26.25" customHeight="1">
      <c r="A50" s="59"/>
      <c r="B50" s="60"/>
      <c r="C50" s="60"/>
      <c r="D50" s="22"/>
      <c r="E50" s="79"/>
      <c r="F50" s="51" t="s">
        <v>43</v>
      </c>
      <c r="G50" s="275" t="s">
        <v>163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 t="s">
        <v>337</v>
      </c>
      <c r="V50" s="115"/>
      <c r="W50" s="114"/>
      <c r="X50" s="115"/>
      <c r="Y50" s="221"/>
      <c r="Z50" s="115"/>
      <c r="AA50" s="115"/>
      <c r="AB50" s="35"/>
      <c r="AC50" s="170"/>
      <c r="AD50" s="208"/>
      <c r="AE50" s="170"/>
      <c r="AF50" s="208"/>
      <c r="AG50" s="170"/>
      <c r="AH50" s="208"/>
      <c r="AI50" s="170"/>
      <c r="AJ50" s="233">
        <v>20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f t="shared" si="6"/>
        <v>0</v>
      </c>
      <c r="AU50" s="386"/>
      <c r="AV50" s="233">
        <v>0</v>
      </c>
    </row>
    <row r="51" spans="1:48" s="62" customFormat="1" ht="26.25" customHeight="1">
      <c r="A51" s="59"/>
      <c r="B51" s="60"/>
      <c r="C51" s="60"/>
      <c r="D51" s="22"/>
      <c r="E51" s="79"/>
      <c r="F51" s="51" t="s">
        <v>43</v>
      </c>
      <c r="G51" s="275" t="s">
        <v>163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 t="s">
        <v>337</v>
      </c>
      <c r="V51" s="115"/>
      <c r="W51" s="114"/>
      <c r="X51" s="115"/>
      <c r="Y51" s="221"/>
      <c r="Z51" s="115"/>
      <c r="AA51" s="115"/>
      <c r="AB51" s="35"/>
      <c r="AC51" s="170"/>
      <c r="AD51" s="208"/>
      <c r="AE51" s="170"/>
      <c r="AF51" s="208"/>
      <c r="AG51" s="170"/>
      <c r="AH51" s="208"/>
      <c r="AI51" s="170"/>
      <c r="AJ51" s="233">
        <v>25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f t="shared" si="6"/>
        <v>0</v>
      </c>
      <c r="AU51" s="386"/>
      <c r="AV51" s="233">
        <v>0</v>
      </c>
    </row>
    <row r="52" spans="1:48" s="62" customFormat="1" ht="26.25" customHeight="1">
      <c r="A52" s="59"/>
      <c r="B52" s="60"/>
      <c r="C52" s="427"/>
      <c r="D52" s="428"/>
      <c r="E52" s="79"/>
      <c r="F52" s="162" t="s">
        <v>43</v>
      </c>
      <c r="G52" s="222" t="s">
        <v>163</v>
      </c>
      <c r="H52" s="193"/>
      <c r="I52" s="193"/>
      <c r="J52" s="193"/>
      <c r="K52" s="193"/>
      <c r="L52" s="243"/>
      <c r="M52" s="242"/>
      <c r="N52" s="243"/>
      <c r="O52" s="193"/>
      <c r="P52" s="243"/>
      <c r="Q52" s="193"/>
      <c r="R52" s="243"/>
      <c r="S52" s="193"/>
      <c r="T52" s="243"/>
      <c r="U52" s="203" t="s">
        <v>369</v>
      </c>
      <c r="V52" s="115"/>
      <c r="W52" s="114"/>
      <c r="X52" s="193"/>
      <c r="Y52" s="200"/>
      <c r="Z52" s="193"/>
      <c r="AA52" s="193"/>
      <c r="AB52" s="35"/>
      <c r="AC52" s="170"/>
      <c r="AD52" s="209"/>
      <c r="AE52" s="194"/>
      <c r="AF52" s="209"/>
      <c r="AG52" s="194"/>
      <c r="AH52" s="209"/>
      <c r="AI52" s="194"/>
      <c r="AJ52" s="232">
        <v>2</v>
      </c>
      <c r="AK52" s="170"/>
      <c r="AL52" s="272"/>
      <c r="AM52" s="212"/>
      <c r="AN52" s="269"/>
      <c r="AO52" s="217"/>
      <c r="AP52" s="232"/>
      <c r="AQ52" s="229"/>
      <c r="AR52" s="212"/>
      <c r="AS52" s="212"/>
      <c r="AT52" s="247">
        <f t="shared" si="6"/>
        <v>2</v>
      </c>
      <c r="AU52" s="228"/>
      <c r="AV52" s="279">
        <v>2</v>
      </c>
    </row>
    <row r="53" spans="1:48" s="62" customFormat="1" ht="24" customHeight="1">
      <c r="A53" s="59"/>
      <c r="B53" s="60"/>
      <c r="C53" s="60"/>
      <c r="D53" s="22"/>
      <c r="E53" s="79" t="s">
        <v>24</v>
      </c>
      <c r="F53" s="51" t="s">
        <v>269</v>
      </c>
      <c r="G53" s="275" t="s">
        <v>152</v>
      </c>
      <c r="H53" s="115" t="s">
        <v>91</v>
      </c>
      <c r="I53" s="115" t="s">
        <v>91</v>
      </c>
      <c r="J53" s="115"/>
      <c r="K53" s="115"/>
      <c r="L53" s="276"/>
      <c r="M53" s="277">
        <f>J53*K53</f>
        <v>0</v>
      </c>
      <c r="N53" s="276">
        <f>L53*M53</f>
        <v>0</v>
      </c>
      <c r="O53" s="115"/>
      <c r="P53" s="276"/>
      <c r="Q53" s="115"/>
      <c r="R53" s="276"/>
      <c r="S53" s="115"/>
      <c r="T53" s="276"/>
      <c r="U53" s="278" t="s">
        <v>265</v>
      </c>
      <c r="V53" s="115">
        <v>1405</v>
      </c>
      <c r="W53" s="114">
        <v>43052</v>
      </c>
      <c r="X53" s="115"/>
      <c r="Y53" s="115"/>
      <c r="Z53" s="115"/>
      <c r="AA53" s="115"/>
      <c r="AB53" s="35">
        <v>120</v>
      </c>
      <c r="AC53" s="170">
        <v>58734</v>
      </c>
      <c r="AD53" s="208"/>
      <c r="AE53" s="170"/>
      <c r="AF53" s="208"/>
      <c r="AG53" s="170"/>
      <c r="AH53" s="208"/>
      <c r="AI53" s="170"/>
      <c r="AJ53" s="233">
        <v>140</v>
      </c>
      <c r="AK53" s="170">
        <f>AE53+AG53+AI53</f>
        <v>0</v>
      </c>
      <c r="AL53" s="270">
        <f>15+30+10+25+20+20</f>
        <v>120</v>
      </c>
      <c r="AM53" s="170">
        <f>7341.75+14683.5+4894.5+12236.25+9789</f>
        <v>48945</v>
      </c>
      <c r="AN53" s="270">
        <v>0</v>
      </c>
      <c r="AO53" s="170">
        <f>AC53+AK53-AM53</f>
        <v>9789</v>
      </c>
      <c r="AP53" s="233"/>
      <c r="AQ53" s="233"/>
      <c r="AR53" s="170">
        <v>489.45</v>
      </c>
      <c r="AS53" s="170">
        <f>AQ53*AR53</f>
        <v>0</v>
      </c>
      <c r="AT53" s="233">
        <f t="shared" si="6"/>
        <v>0</v>
      </c>
      <c r="AU53" s="386">
        <f>AT53*AR53</f>
        <v>0</v>
      </c>
      <c r="AV53" s="233">
        <v>0</v>
      </c>
    </row>
    <row r="54" spans="1:48" s="62" customFormat="1" ht="26.25" hidden="1" customHeight="1">
      <c r="A54" s="59"/>
      <c r="B54" s="60"/>
      <c r="C54" s="60"/>
      <c r="D54" s="22"/>
      <c r="E54" s="79" t="s">
        <v>24</v>
      </c>
      <c r="F54" s="51" t="s">
        <v>44</v>
      </c>
      <c r="G54" s="275" t="s">
        <v>116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186</v>
      </c>
      <c r="V54" s="115">
        <v>1418</v>
      </c>
      <c r="W54" s="114">
        <v>43312</v>
      </c>
      <c r="X54" s="115" t="s">
        <v>184</v>
      </c>
      <c r="Y54" s="221">
        <v>43332</v>
      </c>
      <c r="Z54" s="115" t="s">
        <v>185</v>
      </c>
      <c r="AA54" s="221">
        <v>43320</v>
      </c>
      <c r="AB54" s="22">
        <v>0</v>
      </c>
      <c r="AC54" s="170">
        <v>0</v>
      </c>
      <c r="AD54" s="208">
        <v>55</v>
      </c>
      <c r="AE54" s="170">
        <v>10780</v>
      </c>
      <c r="AF54" s="208"/>
      <c r="AG54" s="170"/>
      <c r="AH54" s="208"/>
      <c r="AI54" s="170"/>
      <c r="AJ54" s="233"/>
      <c r="AK54" s="170">
        <f t="shared" si="5"/>
        <v>10780</v>
      </c>
      <c r="AL54" s="270">
        <v>0</v>
      </c>
      <c r="AM54" s="170">
        <v>0</v>
      </c>
      <c r="AN54" s="270">
        <v>55</v>
      </c>
      <c r="AO54" s="170">
        <v>0</v>
      </c>
      <c r="AP54" s="233"/>
      <c r="AQ54" s="233"/>
      <c r="AR54" s="170">
        <v>196</v>
      </c>
      <c r="AS54" s="170">
        <f t="shared" si="3"/>
        <v>0</v>
      </c>
      <c r="AT54" s="233">
        <f t="shared" si="6"/>
        <v>0</v>
      </c>
      <c r="AU54" s="386">
        <f t="shared" si="4"/>
        <v>0</v>
      </c>
      <c r="AV54" s="233">
        <v>0</v>
      </c>
    </row>
    <row r="55" spans="1:48" s="62" customFormat="1" ht="26.25" customHeight="1">
      <c r="A55" s="59"/>
      <c r="B55" s="60"/>
      <c r="C55" s="60"/>
      <c r="D55" s="22"/>
      <c r="E55" s="79"/>
      <c r="F55" s="51" t="s">
        <v>269</v>
      </c>
      <c r="G55" s="275" t="s">
        <v>152</v>
      </c>
      <c r="H55" s="115"/>
      <c r="I55" s="115"/>
      <c r="J55" s="115"/>
      <c r="K55" s="115"/>
      <c r="L55" s="276"/>
      <c r="M55" s="277"/>
      <c r="N55" s="276"/>
      <c r="O55" s="115"/>
      <c r="P55" s="276"/>
      <c r="Q55" s="115"/>
      <c r="R55" s="276"/>
      <c r="S55" s="115"/>
      <c r="T55" s="276"/>
      <c r="U55" s="278" t="s">
        <v>265</v>
      </c>
      <c r="V55" s="115"/>
      <c r="W55" s="114"/>
      <c r="X55" s="115"/>
      <c r="Y55" s="221"/>
      <c r="Z55" s="115"/>
      <c r="AA55" s="221"/>
      <c r="AB55" s="22"/>
      <c r="AC55" s="170"/>
      <c r="AD55" s="208"/>
      <c r="AE55" s="170"/>
      <c r="AF55" s="208"/>
      <c r="AG55" s="170"/>
      <c r="AH55" s="208"/>
      <c r="AI55" s="170"/>
      <c r="AJ55" s="233">
        <v>50</v>
      </c>
      <c r="AK55" s="170"/>
      <c r="AL55" s="270"/>
      <c r="AM55" s="170"/>
      <c r="AN55" s="270"/>
      <c r="AO55" s="170"/>
      <c r="AP55" s="233"/>
      <c r="AQ55" s="233"/>
      <c r="AR55" s="170"/>
      <c r="AS55" s="170"/>
      <c r="AT55" s="233">
        <f t="shared" si="6"/>
        <v>0</v>
      </c>
      <c r="AU55" s="386"/>
      <c r="AV55" s="233">
        <v>0</v>
      </c>
    </row>
    <row r="56" spans="1:48" s="62" customFormat="1" ht="26.25" customHeight="1">
      <c r="A56" s="59"/>
      <c r="B56" s="60"/>
      <c r="C56" s="60"/>
      <c r="D56" s="22"/>
      <c r="E56" s="79"/>
      <c r="F56" s="51" t="s">
        <v>269</v>
      </c>
      <c r="G56" s="275" t="s">
        <v>152</v>
      </c>
      <c r="H56" s="115"/>
      <c r="I56" s="115"/>
      <c r="J56" s="115"/>
      <c r="K56" s="115"/>
      <c r="L56" s="276"/>
      <c r="M56" s="277"/>
      <c r="N56" s="276"/>
      <c r="O56" s="115"/>
      <c r="P56" s="276"/>
      <c r="Q56" s="115"/>
      <c r="R56" s="276"/>
      <c r="S56" s="115"/>
      <c r="T56" s="276"/>
      <c r="U56" s="278" t="s">
        <v>314</v>
      </c>
      <c r="V56" s="115"/>
      <c r="W56" s="114"/>
      <c r="X56" s="115"/>
      <c r="Y56" s="221"/>
      <c r="Z56" s="115"/>
      <c r="AA56" s="221"/>
      <c r="AB56" s="22"/>
      <c r="AC56" s="170"/>
      <c r="AD56" s="208"/>
      <c r="AE56" s="170"/>
      <c r="AF56" s="208"/>
      <c r="AG56" s="170"/>
      <c r="AH56" s="208"/>
      <c r="AI56" s="170"/>
      <c r="AJ56" s="233">
        <v>75</v>
      </c>
      <c r="AK56" s="170"/>
      <c r="AL56" s="270"/>
      <c r="AM56" s="170"/>
      <c r="AN56" s="270"/>
      <c r="AO56" s="170"/>
      <c r="AP56" s="233"/>
      <c r="AQ56" s="233"/>
      <c r="AR56" s="170"/>
      <c r="AS56" s="170"/>
      <c r="AT56" s="233">
        <f t="shared" si="6"/>
        <v>0</v>
      </c>
      <c r="AU56" s="386"/>
      <c r="AV56" s="233">
        <v>0</v>
      </c>
    </row>
    <row r="57" spans="1:48" s="62" customFormat="1" ht="26.25" customHeight="1">
      <c r="A57" s="59"/>
      <c r="B57" s="60"/>
      <c r="C57" s="60"/>
      <c r="D57" s="22"/>
      <c r="E57" s="79"/>
      <c r="F57" s="51" t="s">
        <v>269</v>
      </c>
      <c r="G57" s="275" t="s">
        <v>152</v>
      </c>
      <c r="H57" s="115"/>
      <c r="I57" s="115"/>
      <c r="J57" s="115"/>
      <c r="K57" s="115"/>
      <c r="L57" s="276"/>
      <c r="M57" s="277"/>
      <c r="N57" s="276"/>
      <c r="O57" s="115"/>
      <c r="P57" s="276"/>
      <c r="Q57" s="115"/>
      <c r="R57" s="276"/>
      <c r="S57" s="115"/>
      <c r="T57" s="276"/>
      <c r="U57" s="278" t="s">
        <v>322</v>
      </c>
      <c r="V57" s="115"/>
      <c r="W57" s="114"/>
      <c r="X57" s="115"/>
      <c r="Y57" s="221"/>
      <c r="Z57" s="115"/>
      <c r="AA57" s="221"/>
      <c r="AB57" s="22"/>
      <c r="AC57" s="170"/>
      <c r="AD57" s="208"/>
      <c r="AE57" s="170"/>
      <c r="AF57" s="208"/>
      <c r="AG57" s="170"/>
      <c r="AH57" s="208"/>
      <c r="AI57" s="170"/>
      <c r="AJ57" s="233">
        <v>35</v>
      </c>
      <c r="AK57" s="170"/>
      <c r="AL57" s="270"/>
      <c r="AM57" s="170"/>
      <c r="AN57" s="270"/>
      <c r="AO57" s="170"/>
      <c r="AP57" s="233"/>
      <c r="AQ57" s="233"/>
      <c r="AR57" s="170"/>
      <c r="AS57" s="170"/>
      <c r="AT57" s="233">
        <f t="shared" si="6"/>
        <v>0</v>
      </c>
      <c r="AU57" s="386"/>
      <c r="AV57" s="233">
        <v>0</v>
      </c>
    </row>
    <row r="58" spans="1:48" s="62" customFormat="1" ht="26.25" customHeight="1">
      <c r="A58" s="59"/>
      <c r="B58" s="60"/>
      <c r="C58" s="60"/>
      <c r="D58" s="22"/>
      <c r="E58" s="79"/>
      <c r="F58" s="485" t="s">
        <v>269</v>
      </c>
      <c r="G58" s="222" t="s">
        <v>152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322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490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470</v>
      </c>
      <c r="AU58" s="386"/>
      <c r="AV58" s="279">
        <v>470</v>
      </c>
    </row>
    <row r="59" spans="1:48" s="62" customFormat="1" ht="26.25" customHeight="1">
      <c r="A59" s="59"/>
      <c r="B59" s="60"/>
      <c r="C59" s="60"/>
      <c r="D59" s="22"/>
      <c r="E59" s="79"/>
      <c r="F59" s="177" t="s">
        <v>44</v>
      </c>
      <c r="G59" s="222" t="s">
        <v>116</v>
      </c>
      <c r="H59" s="115"/>
      <c r="I59" s="115"/>
      <c r="J59" s="115"/>
      <c r="K59" s="115"/>
      <c r="L59" s="276"/>
      <c r="M59" s="277"/>
      <c r="N59" s="276"/>
      <c r="O59" s="115"/>
      <c r="P59" s="276"/>
      <c r="Q59" s="115"/>
      <c r="R59" s="276"/>
      <c r="S59" s="115"/>
      <c r="T59" s="276"/>
      <c r="U59" s="203" t="s">
        <v>332</v>
      </c>
      <c r="V59" s="115"/>
      <c r="W59" s="114"/>
      <c r="X59" s="115"/>
      <c r="Y59" s="221"/>
      <c r="Z59" s="115"/>
      <c r="AA59" s="221"/>
      <c r="AB59" s="22"/>
      <c r="AC59" s="170"/>
      <c r="AD59" s="208"/>
      <c r="AE59" s="170"/>
      <c r="AF59" s="208"/>
      <c r="AG59" s="170"/>
      <c r="AH59" s="208"/>
      <c r="AI59" s="170"/>
      <c r="AJ59" s="232">
        <v>475</v>
      </c>
      <c r="AK59" s="170"/>
      <c r="AL59" s="270"/>
      <c r="AM59" s="170"/>
      <c r="AN59" s="270"/>
      <c r="AO59" s="170"/>
      <c r="AP59" s="233"/>
      <c r="AQ59" s="233"/>
      <c r="AR59" s="170"/>
      <c r="AS59" s="170"/>
      <c r="AT59" s="247">
        <f t="shared" si="6"/>
        <v>145</v>
      </c>
      <c r="AU59" s="386"/>
      <c r="AV59" s="279">
        <v>145</v>
      </c>
    </row>
    <row r="60" spans="1:48" s="62" customFormat="1" ht="27" hidden="1" customHeight="1">
      <c r="A60" s="59"/>
      <c r="B60" s="60"/>
      <c r="C60" s="60"/>
      <c r="D60" s="22"/>
      <c r="E60" s="79" t="s">
        <v>24</v>
      </c>
      <c r="F60" s="51" t="s">
        <v>52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112</v>
      </c>
      <c r="V60" s="115">
        <v>1625</v>
      </c>
      <c r="W60" s="114">
        <v>43087</v>
      </c>
      <c r="X60" s="115" t="s">
        <v>109</v>
      </c>
      <c r="Y60" s="221">
        <v>43109</v>
      </c>
      <c r="Z60" s="115" t="s">
        <v>110</v>
      </c>
      <c r="AA60" s="221">
        <v>43111</v>
      </c>
      <c r="AB60" s="22">
        <v>0</v>
      </c>
      <c r="AC60" s="170">
        <v>0</v>
      </c>
      <c r="AD60" s="208">
        <v>5</v>
      </c>
      <c r="AE60" s="170">
        <v>1010.9</v>
      </c>
      <c r="AF60" s="208"/>
      <c r="AG60" s="170"/>
      <c r="AH60" s="208"/>
      <c r="AI60" s="170"/>
      <c r="AJ60" s="232"/>
      <c r="AK60" s="170">
        <f t="shared" si="5"/>
        <v>1010.9</v>
      </c>
      <c r="AL60" s="270">
        <v>5</v>
      </c>
      <c r="AM60" s="170">
        <v>1010.9</v>
      </c>
      <c r="AN60" s="270">
        <v>0</v>
      </c>
      <c r="AO60" s="170">
        <f t="shared" si="2"/>
        <v>0</v>
      </c>
      <c r="AP60" s="233"/>
      <c r="AQ60" s="233"/>
      <c r="AR60" s="170"/>
      <c r="AS60" s="170">
        <f t="shared" si="3"/>
        <v>0</v>
      </c>
      <c r="AT60" s="247">
        <f t="shared" si="6"/>
        <v>0</v>
      </c>
      <c r="AU60" s="170">
        <f t="shared" si="4"/>
        <v>0</v>
      </c>
      <c r="AV60" s="233">
        <v>0</v>
      </c>
    </row>
    <row r="61" spans="1:48" s="62" customFormat="1" ht="27" hidden="1" customHeight="1">
      <c r="A61" s="59"/>
      <c r="B61" s="60"/>
      <c r="C61" s="60"/>
      <c r="D61" s="22"/>
      <c r="E61" s="79" t="s">
        <v>24</v>
      </c>
      <c r="F61" s="51" t="s">
        <v>52</v>
      </c>
      <c r="G61" s="275" t="s">
        <v>111</v>
      </c>
      <c r="H61" s="115" t="s">
        <v>91</v>
      </c>
      <c r="I61" s="115" t="s">
        <v>91</v>
      </c>
      <c r="J61" s="115">
        <v>2016</v>
      </c>
      <c r="K61" s="115">
        <v>2</v>
      </c>
      <c r="L61" s="276">
        <v>199.06</v>
      </c>
      <c r="M61" s="277">
        <f t="shared" si="0"/>
        <v>4032</v>
      </c>
      <c r="N61" s="276">
        <f t="shared" si="1"/>
        <v>802609.92</v>
      </c>
      <c r="O61" s="115">
        <v>4130</v>
      </c>
      <c r="P61" s="276">
        <v>1054554.2</v>
      </c>
      <c r="Q61" s="115"/>
      <c r="R61" s="276"/>
      <c r="S61" s="115"/>
      <c r="T61" s="276"/>
      <c r="U61" s="278" t="s">
        <v>112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490</v>
      </c>
      <c r="AE61" s="170">
        <v>99068.2</v>
      </c>
      <c r="AF61" s="208"/>
      <c r="AG61" s="170"/>
      <c r="AH61" s="208"/>
      <c r="AI61" s="170"/>
      <c r="AJ61" s="232"/>
      <c r="AK61" s="170">
        <f t="shared" si="5"/>
        <v>99068.2</v>
      </c>
      <c r="AL61" s="270">
        <f>135+130+130</f>
        <v>395</v>
      </c>
      <c r="AM61" s="170">
        <f>AL61*AR61</f>
        <v>79861.100000000006</v>
      </c>
      <c r="AN61" s="270">
        <v>95</v>
      </c>
      <c r="AO61" s="170">
        <f t="shared" si="2"/>
        <v>19207.099999999991</v>
      </c>
      <c r="AP61" s="233"/>
      <c r="AQ61" s="233"/>
      <c r="AR61" s="170">
        <v>202.18</v>
      </c>
      <c r="AS61" s="170">
        <f t="shared" si="3"/>
        <v>0</v>
      </c>
      <c r="AT61" s="247">
        <f t="shared" si="6"/>
        <v>0</v>
      </c>
      <c r="AU61" s="386">
        <f t="shared" si="4"/>
        <v>0</v>
      </c>
      <c r="AV61" s="233">
        <v>0</v>
      </c>
    </row>
    <row r="62" spans="1:48" s="62" customFormat="1" ht="27" hidden="1" customHeight="1">
      <c r="A62" s="59"/>
      <c r="B62" s="60"/>
      <c r="C62" s="60"/>
      <c r="D62" s="22"/>
      <c r="E62" s="79" t="s">
        <v>24</v>
      </c>
      <c r="F62" s="51" t="s">
        <v>52</v>
      </c>
      <c r="G62" s="275" t="s">
        <v>111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112</v>
      </c>
      <c r="V62" s="115">
        <v>1745</v>
      </c>
      <c r="W62" s="114">
        <v>43096</v>
      </c>
      <c r="X62" s="115" t="s">
        <v>117</v>
      </c>
      <c r="Y62" s="221">
        <v>43109</v>
      </c>
      <c r="Z62" s="115" t="s">
        <v>118</v>
      </c>
      <c r="AA62" s="221">
        <v>43133</v>
      </c>
      <c r="AB62" s="22">
        <v>0</v>
      </c>
      <c r="AC62" s="170">
        <v>0</v>
      </c>
      <c r="AD62" s="208">
        <v>195</v>
      </c>
      <c r="AE62" s="170">
        <v>39425.1</v>
      </c>
      <c r="AF62" s="208"/>
      <c r="AG62" s="170"/>
      <c r="AH62" s="208"/>
      <c r="AI62" s="170"/>
      <c r="AJ62" s="232"/>
      <c r="AK62" s="170">
        <f t="shared" si="5"/>
        <v>39425.1</v>
      </c>
      <c r="AL62" s="270">
        <v>0</v>
      </c>
      <c r="AM62" s="170">
        <v>0</v>
      </c>
      <c r="AN62" s="270">
        <v>195</v>
      </c>
      <c r="AO62" s="170">
        <f t="shared" si="2"/>
        <v>39425.1</v>
      </c>
      <c r="AP62" s="233"/>
      <c r="AQ62" s="233"/>
      <c r="AR62" s="170">
        <v>202.18</v>
      </c>
      <c r="AS62" s="170">
        <f t="shared" si="3"/>
        <v>0</v>
      </c>
      <c r="AT62" s="247">
        <f t="shared" si="6"/>
        <v>0</v>
      </c>
      <c r="AU62" s="386">
        <f t="shared" si="4"/>
        <v>0</v>
      </c>
      <c r="AV62" s="233">
        <v>0</v>
      </c>
    </row>
    <row r="63" spans="1:48" s="62" customFormat="1" ht="27" customHeight="1">
      <c r="A63" s="59"/>
      <c r="B63" s="60"/>
      <c r="C63" s="60"/>
      <c r="D63" s="22"/>
      <c r="E63" s="79"/>
      <c r="F63" s="177" t="s">
        <v>44</v>
      </c>
      <c r="G63" s="222" t="s">
        <v>116</v>
      </c>
      <c r="H63" s="115"/>
      <c r="I63" s="115"/>
      <c r="J63" s="115"/>
      <c r="K63" s="115"/>
      <c r="L63" s="276"/>
      <c r="M63" s="277"/>
      <c r="N63" s="276"/>
      <c r="O63" s="115"/>
      <c r="P63" s="276"/>
      <c r="Q63" s="115"/>
      <c r="R63" s="276"/>
      <c r="S63" s="115"/>
      <c r="T63" s="276"/>
      <c r="U63" s="203" t="s">
        <v>338</v>
      </c>
      <c r="V63" s="115"/>
      <c r="W63" s="114"/>
      <c r="X63" s="115"/>
      <c r="Y63" s="221"/>
      <c r="Z63" s="115"/>
      <c r="AA63" s="221"/>
      <c r="AB63" s="22"/>
      <c r="AC63" s="170"/>
      <c r="AD63" s="208"/>
      <c r="AE63" s="170"/>
      <c r="AF63" s="208"/>
      <c r="AG63" s="170"/>
      <c r="AH63" s="208"/>
      <c r="AI63" s="170"/>
      <c r="AJ63" s="232">
        <v>360</v>
      </c>
      <c r="AK63" s="170"/>
      <c r="AL63" s="270"/>
      <c r="AM63" s="170"/>
      <c r="AN63" s="270"/>
      <c r="AO63" s="170"/>
      <c r="AP63" s="233"/>
      <c r="AQ63" s="233"/>
      <c r="AR63" s="170"/>
      <c r="AS63" s="170"/>
      <c r="AT63" s="247">
        <f t="shared" si="6"/>
        <v>360</v>
      </c>
      <c r="AU63" s="386"/>
      <c r="AV63" s="279">
        <v>360</v>
      </c>
    </row>
    <row r="64" spans="1:48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133</v>
      </c>
      <c r="V64" s="115">
        <v>234</v>
      </c>
      <c r="W64" s="114">
        <v>43143</v>
      </c>
      <c r="X64" s="115" t="s">
        <v>143</v>
      </c>
      <c r="Y64" s="221">
        <v>43164</v>
      </c>
      <c r="Z64" s="115"/>
      <c r="AA64" s="115"/>
      <c r="AB64" s="22">
        <v>0</v>
      </c>
      <c r="AC64" s="170">
        <v>0</v>
      </c>
      <c r="AD64" s="208">
        <v>320</v>
      </c>
      <c r="AE64" s="170">
        <v>64697.599999999999</v>
      </c>
      <c r="AF64" s="208"/>
      <c r="AG64" s="170"/>
      <c r="AH64" s="208"/>
      <c r="AI64" s="170"/>
      <c r="AJ64" s="233"/>
      <c r="AK64" s="170">
        <f t="shared" si="5"/>
        <v>64697.599999999999</v>
      </c>
      <c r="AL64" s="270">
        <v>0</v>
      </c>
      <c r="AM64" s="170">
        <v>0</v>
      </c>
      <c r="AN64" s="270">
        <v>320</v>
      </c>
      <c r="AO64" s="170">
        <f t="shared" si="2"/>
        <v>64697.599999999999</v>
      </c>
      <c r="AP64" s="233"/>
      <c r="AQ64" s="233"/>
      <c r="AR64" s="170">
        <v>202.18</v>
      </c>
      <c r="AS64" s="170">
        <f t="shared" si="3"/>
        <v>0</v>
      </c>
      <c r="AT64" s="233">
        <f t="shared" si="6"/>
        <v>0</v>
      </c>
      <c r="AU64" s="386">
        <f t="shared" si="4"/>
        <v>0</v>
      </c>
      <c r="AV64" s="233">
        <v>0</v>
      </c>
    </row>
    <row r="65" spans="1:49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132</v>
      </c>
      <c r="V65" s="115">
        <v>234</v>
      </c>
      <c r="W65" s="114">
        <v>43143</v>
      </c>
      <c r="X65" s="115" t="s">
        <v>143</v>
      </c>
      <c r="Y65" s="221">
        <v>43164</v>
      </c>
      <c r="Z65" s="115"/>
      <c r="AA65" s="115"/>
      <c r="AB65" s="22">
        <v>0</v>
      </c>
      <c r="AC65" s="170">
        <v>0</v>
      </c>
      <c r="AD65" s="208">
        <v>15</v>
      </c>
      <c r="AE65" s="170">
        <v>3032.7</v>
      </c>
      <c r="AF65" s="208"/>
      <c r="AG65" s="170"/>
      <c r="AH65" s="208"/>
      <c r="AI65" s="170"/>
      <c r="AJ65" s="233"/>
      <c r="AK65" s="170">
        <f t="shared" si="5"/>
        <v>3032.7</v>
      </c>
      <c r="AL65" s="270">
        <v>0</v>
      </c>
      <c r="AM65" s="170">
        <v>0</v>
      </c>
      <c r="AN65" s="270">
        <v>15</v>
      </c>
      <c r="AO65" s="170">
        <f t="shared" si="2"/>
        <v>3032.7</v>
      </c>
      <c r="AP65" s="233"/>
      <c r="AQ65" s="233"/>
      <c r="AR65" s="170">
        <v>202.18</v>
      </c>
      <c r="AS65" s="170">
        <f t="shared" si="3"/>
        <v>0</v>
      </c>
      <c r="AT65" s="233">
        <f t="shared" si="6"/>
        <v>0</v>
      </c>
      <c r="AU65" s="386">
        <f t="shared" si="4"/>
        <v>0</v>
      </c>
      <c r="AV65" s="233">
        <v>0</v>
      </c>
      <c r="AW65" s="517" t="s">
        <v>287</v>
      </c>
    </row>
    <row r="66" spans="1:49" s="62" customFormat="1" ht="27" hidden="1" customHeight="1">
      <c r="A66" s="59"/>
      <c r="B66" s="60"/>
      <c r="C66" s="60"/>
      <c r="D66" s="22"/>
      <c r="E66" s="79" t="s">
        <v>24</v>
      </c>
      <c r="F66" s="51" t="s">
        <v>65</v>
      </c>
      <c r="G66" s="275" t="s">
        <v>111</v>
      </c>
      <c r="H66" s="115" t="s">
        <v>91</v>
      </c>
      <c r="I66" s="115" t="s">
        <v>91</v>
      </c>
      <c r="J66" s="115"/>
      <c r="K66" s="115"/>
      <c r="L66" s="276"/>
      <c r="M66" s="277">
        <f t="shared" si="0"/>
        <v>0</v>
      </c>
      <c r="N66" s="276">
        <f t="shared" si="1"/>
        <v>0</v>
      </c>
      <c r="O66" s="115"/>
      <c r="P66" s="276"/>
      <c r="Q66" s="115"/>
      <c r="R66" s="276"/>
      <c r="S66" s="115"/>
      <c r="T66" s="276"/>
      <c r="U66" s="278" t="s">
        <v>133</v>
      </c>
      <c r="V66" s="115">
        <v>356</v>
      </c>
      <c r="W66" s="114">
        <v>43159</v>
      </c>
      <c r="X66" s="115" t="s">
        <v>136</v>
      </c>
      <c r="Y66" s="221">
        <v>43164</v>
      </c>
      <c r="Z66" s="115"/>
      <c r="AA66" s="115"/>
      <c r="AB66" s="22">
        <v>0</v>
      </c>
      <c r="AC66" s="170">
        <v>0</v>
      </c>
      <c r="AD66" s="208">
        <v>170</v>
      </c>
      <c r="AE66" s="170">
        <v>34370.6</v>
      </c>
      <c r="AF66" s="208"/>
      <c r="AG66" s="170"/>
      <c r="AH66" s="208"/>
      <c r="AI66" s="170"/>
      <c r="AJ66" s="233"/>
      <c r="AK66" s="170">
        <f t="shared" si="5"/>
        <v>34370.6</v>
      </c>
      <c r="AL66" s="270">
        <v>0</v>
      </c>
      <c r="AM66" s="170">
        <v>0</v>
      </c>
      <c r="AN66" s="270">
        <v>170</v>
      </c>
      <c r="AO66" s="170">
        <f t="shared" si="2"/>
        <v>34370.6</v>
      </c>
      <c r="AP66" s="233"/>
      <c r="AQ66" s="233"/>
      <c r="AR66" s="170">
        <v>202.18</v>
      </c>
      <c r="AS66" s="170">
        <f t="shared" si="3"/>
        <v>0</v>
      </c>
      <c r="AT66" s="233">
        <f t="shared" si="6"/>
        <v>0</v>
      </c>
      <c r="AU66" s="386">
        <f t="shared" si="4"/>
        <v>0</v>
      </c>
      <c r="AV66" s="233">
        <v>0</v>
      </c>
    </row>
    <row r="67" spans="1:49" s="62" customFormat="1" ht="27" customHeight="1">
      <c r="A67" s="59"/>
      <c r="B67" s="60"/>
      <c r="C67" s="60"/>
      <c r="D67" s="22"/>
      <c r="E67" s="79" t="s">
        <v>24</v>
      </c>
      <c r="F67" s="51" t="s">
        <v>374</v>
      </c>
      <c r="G67" s="275" t="s">
        <v>111</v>
      </c>
      <c r="H67" s="115" t="s">
        <v>91</v>
      </c>
      <c r="I67" s="115" t="s">
        <v>91</v>
      </c>
      <c r="J67" s="115"/>
      <c r="K67" s="115"/>
      <c r="L67" s="276"/>
      <c r="M67" s="277">
        <f t="shared" si="0"/>
        <v>0</v>
      </c>
      <c r="N67" s="276">
        <f t="shared" si="1"/>
        <v>0</v>
      </c>
      <c r="O67" s="115"/>
      <c r="P67" s="276"/>
      <c r="Q67" s="115"/>
      <c r="R67" s="276"/>
      <c r="S67" s="115"/>
      <c r="T67" s="276"/>
      <c r="U67" s="278" t="s">
        <v>133</v>
      </c>
      <c r="V67" s="115">
        <v>260</v>
      </c>
      <c r="W67" s="114">
        <v>43145</v>
      </c>
      <c r="X67" s="115" t="s">
        <v>94</v>
      </c>
      <c r="Y67" s="221">
        <v>43164</v>
      </c>
      <c r="Z67" s="115"/>
      <c r="AA67" s="115"/>
      <c r="AB67" s="22">
        <v>0</v>
      </c>
      <c r="AC67" s="170">
        <v>0</v>
      </c>
      <c r="AD67" s="208">
        <v>665</v>
      </c>
      <c r="AE67" s="170">
        <v>134449.70000000001</v>
      </c>
      <c r="AF67" s="208"/>
      <c r="AG67" s="170"/>
      <c r="AH67" s="208"/>
      <c r="AI67" s="170"/>
      <c r="AJ67" s="233"/>
      <c r="AK67" s="170">
        <f t="shared" si="5"/>
        <v>134449.70000000001</v>
      </c>
      <c r="AL67" s="270">
        <v>0</v>
      </c>
      <c r="AM67" s="170">
        <v>0</v>
      </c>
      <c r="AN67" s="270">
        <v>665</v>
      </c>
      <c r="AO67" s="170">
        <f t="shared" si="2"/>
        <v>134449.70000000001</v>
      </c>
      <c r="AP67" s="233"/>
      <c r="AQ67" s="233"/>
      <c r="AR67" s="170">
        <v>202.18</v>
      </c>
      <c r="AS67" s="170">
        <f t="shared" si="3"/>
        <v>0</v>
      </c>
      <c r="AT67" s="233">
        <f t="shared" si="6"/>
        <v>0</v>
      </c>
      <c r="AU67" s="386">
        <f t="shared" si="4"/>
        <v>0</v>
      </c>
      <c r="AV67" s="233">
        <v>0</v>
      </c>
    </row>
    <row r="68" spans="1:49" s="62" customFormat="1" ht="26.25" hidden="1" customHeight="1">
      <c r="A68" s="59"/>
      <c r="B68" s="60"/>
      <c r="C68" s="60"/>
      <c r="D68" s="22"/>
      <c r="E68" s="79" t="s">
        <v>24</v>
      </c>
      <c r="F68" s="51" t="s">
        <v>374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124</v>
      </c>
      <c r="V68" s="115">
        <v>68</v>
      </c>
      <c r="W68" s="114">
        <v>43116</v>
      </c>
      <c r="X68" s="115" t="s">
        <v>125</v>
      </c>
      <c r="Y68" s="221">
        <v>43130</v>
      </c>
      <c r="Z68" s="115"/>
      <c r="AA68" s="115"/>
      <c r="AB68" s="22">
        <v>0</v>
      </c>
      <c r="AC68" s="170">
        <v>0</v>
      </c>
      <c r="AD68" s="208">
        <v>335</v>
      </c>
      <c r="AE68" s="170">
        <v>67730.3</v>
      </c>
      <c r="AF68" s="208"/>
      <c r="AG68" s="170"/>
      <c r="AH68" s="208"/>
      <c r="AI68" s="170"/>
      <c r="AJ68" s="233"/>
      <c r="AK68" s="170">
        <f t="shared" si="5"/>
        <v>67730.3</v>
      </c>
      <c r="AL68" s="270">
        <v>0</v>
      </c>
      <c r="AM68" s="170">
        <v>0</v>
      </c>
      <c r="AN68" s="270">
        <v>335</v>
      </c>
      <c r="AO68" s="170">
        <f t="shared" si="2"/>
        <v>67730.3</v>
      </c>
      <c r="AP68" s="233"/>
      <c r="AQ68" s="233"/>
      <c r="AR68" s="170">
        <v>202.18</v>
      </c>
      <c r="AS68" s="170">
        <f t="shared" si="3"/>
        <v>0</v>
      </c>
      <c r="AT68" s="233">
        <f t="shared" si="6"/>
        <v>0</v>
      </c>
      <c r="AU68" s="386">
        <f t="shared" si="4"/>
        <v>0</v>
      </c>
      <c r="AV68" s="233">
        <v>0</v>
      </c>
    </row>
    <row r="69" spans="1:49" s="62" customFormat="1" ht="26.25" hidden="1" customHeight="1">
      <c r="A69" s="59"/>
      <c r="B69" s="60"/>
      <c r="C69" s="60"/>
      <c r="D69" s="22"/>
      <c r="E69" s="79" t="s">
        <v>24</v>
      </c>
      <c r="F69" s="51" t="s">
        <v>374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124</v>
      </c>
      <c r="V69" s="115">
        <v>135</v>
      </c>
      <c r="W69" s="114">
        <v>42761</v>
      </c>
      <c r="X69" s="115" t="s">
        <v>126</v>
      </c>
      <c r="Y69" s="221">
        <v>43130</v>
      </c>
      <c r="Z69" s="115"/>
      <c r="AA69" s="115"/>
      <c r="AB69" s="22">
        <v>0</v>
      </c>
      <c r="AC69" s="170">
        <v>0</v>
      </c>
      <c r="AD69" s="208">
        <v>155</v>
      </c>
      <c r="AE69" s="170">
        <v>31337.9</v>
      </c>
      <c r="AF69" s="208"/>
      <c r="AG69" s="170"/>
      <c r="AH69" s="208"/>
      <c r="AI69" s="170"/>
      <c r="AJ69" s="233"/>
      <c r="AK69" s="170">
        <f t="shared" si="5"/>
        <v>31337.9</v>
      </c>
      <c r="AL69" s="270">
        <v>0</v>
      </c>
      <c r="AM69" s="170">
        <v>0</v>
      </c>
      <c r="AN69" s="270">
        <v>155</v>
      </c>
      <c r="AO69" s="170">
        <f t="shared" si="2"/>
        <v>31337.9</v>
      </c>
      <c r="AP69" s="233"/>
      <c r="AQ69" s="233"/>
      <c r="AR69" s="170">
        <v>202.18</v>
      </c>
      <c r="AS69" s="170">
        <f t="shared" si="3"/>
        <v>0</v>
      </c>
      <c r="AT69" s="233">
        <f t="shared" si="6"/>
        <v>0</v>
      </c>
      <c r="AU69" s="386">
        <f t="shared" si="4"/>
        <v>0</v>
      </c>
      <c r="AV69" s="233">
        <v>0</v>
      </c>
    </row>
    <row r="70" spans="1:49" s="62" customFormat="1" ht="26.25" customHeight="1">
      <c r="A70" s="59"/>
      <c r="B70" s="60"/>
      <c r="C70" s="60"/>
      <c r="D70" s="22"/>
      <c r="E70" s="79" t="s">
        <v>24</v>
      </c>
      <c r="F70" s="51" t="s">
        <v>374</v>
      </c>
      <c r="G70" s="275" t="s">
        <v>111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/>
      <c r="P70" s="276"/>
      <c r="Q70" s="115"/>
      <c r="R70" s="276"/>
      <c r="S70" s="115"/>
      <c r="T70" s="276"/>
      <c r="U70" s="278" t="s">
        <v>132</v>
      </c>
      <c r="V70" s="115">
        <v>108</v>
      </c>
      <c r="W70" s="114">
        <v>43119</v>
      </c>
      <c r="X70" s="115" t="s">
        <v>131</v>
      </c>
      <c r="Y70" s="221">
        <v>43130</v>
      </c>
      <c r="Z70" s="115"/>
      <c r="AA70" s="115"/>
      <c r="AB70" s="22">
        <v>0</v>
      </c>
      <c r="AC70" s="170">
        <v>0</v>
      </c>
      <c r="AD70" s="208">
        <v>340</v>
      </c>
      <c r="AE70" s="170">
        <v>68741.2</v>
      </c>
      <c r="AF70" s="208"/>
      <c r="AG70" s="170"/>
      <c r="AH70" s="208"/>
      <c r="AI70" s="170"/>
      <c r="AJ70" s="233"/>
      <c r="AK70" s="170">
        <f t="shared" si="5"/>
        <v>68741.2</v>
      </c>
      <c r="AL70" s="270">
        <v>0</v>
      </c>
      <c r="AM70" s="170">
        <v>0</v>
      </c>
      <c r="AN70" s="270">
        <v>340</v>
      </c>
      <c r="AO70" s="170">
        <f t="shared" si="2"/>
        <v>68741.2</v>
      </c>
      <c r="AP70" s="233"/>
      <c r="AQ70" s="233"/>
      <c r="AR70" s="170">
        <v>202.18</v>
      </c>
      <c r="AS70" s="170">
        <f t="shared" si="3"/>
        <v>0</v>
      </c>
      <c r="AT70" s="233">
        <f t="shared" si="6"/>
        <v>0</v>
      </c>
      <c r="AU70" s="386">
        <f t="shared" si="4"/>
        <v>0</v>
      </c>
      <c r="AV70" s="233">
        <v>0</v>
      </c>
    </row>
    <row r="71" spans="1:49" s="62" customFormat="1" ht="26.25" customHeight="1">
      <c r="A71" s="59"/>
      <c r="B71" s="60"/>
      <c r="C71" s="60"/>
      <c r="D71" s="22"/>
      <c r="E71" s="79" t="s">
        <v>24</v>
      </c>
      <c r="F71" s="51" t="s">
        <v>374</v>
      </c>
      <c r="G71" s="275" t="s">
        <v>111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161</v>
      </c>
      <c r="V71" s="115">
        <v>659</v>
      </c>
      <c r="W71" s="114">
        <v>43201</v>
      </c>
      <c r="X71" s="115" t="s">
        <v>159</v>
      </c>
      <c r="Y71" s="221">
        <v>43213</v>
      </c>
      <c r="Z71" s="115" t="s">
        <v>160</v>
      </c>
      <c r="AA71" s="221">
        <v>43255</v>
      </c>
      <c r="AB71" s="22">
        <v>0</v>
      </c>
      <c r="AC71" s="170">
        <v>0</v>
      </c>
      <c r="AD71" s="208">
        <v>245</v>
      </c>
      <c r="AE71" s="170">
        <v>49534.1</v>
      </c>
      <c r="AF71" s="208"/>
      <c r="AG71" s="170"/>
      <c r="AH71" s="208"/>
      <c r="AI71" s="170"/>
      <c r="AJ71" s="233"/>
      <c r="AK71" s="170">
        <f t="shared" si="5"/>
        <v>49534.1</v>
      </c>
      <c r="AL71" s="270">
        <v>0</v>
      </c>
      <c r="AM71" s="170">
        <v>0</v>
      </c>
      <c r="AN71" s="270">
        <v>245</v>
      </c>
      <c r="AO71" s="170">
        <f t="shared" si="2"/>
        <v>49534.1</v>
      </c>
      <c r="AP71" s="233"/>
      <c r="AQ71" s="233"/>
      <c r="AR71" s="170">
        <v>202.18</v>
      </c>
      <c r="AS71" s="170">
        <f t="shared" si="3"/>
        <v>0</v>
      </c>
      <c r="AT71" s="233">
        <f t="shared" si="6"/>
        <v>0</v>
      </c>
      <c r="AU71" s="386">
        <f t="shared" si="4"/>
        <v>0</v>
      </c>
      <c r="AV71" s="233">
        <v>0</v>
      </c>
    </row>
    <row r="72" spans="1:49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161</v>
      </c>
      <c r="V72" s="115">
        <v>834</v>
      </c>
      <c r="W72" s="114">
        <v>43222</v>
      </c>
      <c r="X72" s="193" t="s">
        <v>162</v>
      </c>
      <c r="Y72" s="200">
        <v>43242</v>
      </c>
      <c r="Z72" s="193"/>
      <c r="AA72" s="193"/>
      <c r="AB72" s="22">
        <v>0</v>
      </c>
      <c r="AC72" s="170">
        <v>0</v>
      </c>
      <c r="AD72" s="209">
        <v>555</v>
      </c>
      <c r="AE72" s="194">
        <v>112209.9</v>
      </c>
      <c r="AF72" s="209"/>
      <c r="AG72" s="194"/>
      <c r="AH72" s="209"/>
      <c r="AI72" s="194"/>
      <c r="AJ72" s="232"/>
      <c r="AK72" s="170">
        <f t="shared" si="5"/>
        <v>112209.9</v>
      </c>
      <c r="AL72" s="272">
        <v>0</v>
      </c>
      <c r="AM72" s="212">
        <v>0</v>
      </c>
      <c r="AN72" s="269">
        <v>555</v>
      </c>
      <c r="AO72" s="217">
        <f t="shared" si="2"/>
        <v>112209.9</v>
      </c>
      <c r="AP72" s="232"/>
      <c r="AQ72" s="229"/>
      <c r="AR72" s="212">
        <v>202.18</v>
      </c>
      <c r="AS72" s="212">
        <f t="shared" si="3"/>
        <v>0</v>
      </c>
      <c r="AT72" s="247">
        <f t="shared" si="6"/>
        <v>350</v>
      </c>
      <c r="AU72" s="228">
        <f t="shared" si="4"/>
        <v>70763</v>
      </c>
      <c r="AV72" s="279">
        <v>350</v>
      </c>
    </row>
    <row r="73" spans="1:49" s="62" customFormat="1" ht="26.25" hidden="1" customHeight="1">
      <c r="A73" s="59"/>
      <c r="B73" s="60"/>
      <c r="C73" s="60"/>
      <c r="D73" s="22"/>
      <c r="E73" s="79" t="s">
        <v>24</v>
      </c>
      <c r="F73" s="51" t="s">
        <v>65</v>
      </c>
      <c r="G73" s="275" t="s">
        <v>111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/>
      <c r="P73" s="276"/>
      <c r="Q73" s="115"/>
      <c r="R73" s="276"/>
      <c r="S73" s="115"/>
      <c r="T73" s="276"/>
      <c r="U73" s="278" t="s">
        <v>175</v>
      </c>
      <c r="V73" s="115">
        <v>1006</v>
      </c>
      <c r="W73" s="114">
        <v>43244</v>
      </c>
      <c r="X73" s="115" t="s">
        <v>179</v>
      </c>
      <c r="Y73" s="221">
        <v>43285</v>
      </c>
      <c r="Z73" s="115"/>
      <c r="AA73" s="115"/>
      <c r="AB73" s="22">
        <v>0</v>
      </c>
      <c r="AC73" s="170">
        <v>0</v>
      </c>
      <c r="AD73" s="208">
        <v>45</v>
      </c>
      <c r="AE73" s="170">
        <v>8820</v>
      </c>
      <c r="AF73" s="208"/>
      <c r="AG73" s="170"/>
      <c r="AH73" s="208"/>
      <c r="AI73" s="170"/>
      <c r="AJ73" s="233"/>
      <c r="AK73" s="170">
        <f t="shared" si="5"/>
        <v>8820</v>
      </c>
      <c r="AL73" s="270">
        <v>0</v>
      </c>
      <c r="AM73" s="170">
        <v>0</v>
      </c>
      <c r="AN73" s="270">
        <v>45</v>
      </c>
      <c r="AO73" s="170">
        <f t="shared" si="2"/>
        <v>8820</v>
      </c>
      <c r="AP73" s="233"/>
      <c r="AQ73" s="233"/>
      <c r="AR73" s="170">
        <v>196</v>
      </c>
      <c r="AS73" s="170">
        <f t="shared" si="3"/>
        <v>0</v>
      </c>
      <c r="AT73" s="247">
        <f t="shared" si="6"/>
        <v>0</v>
      </c>
      <c r="AU73" s="386">
        <f t="shared" si="4"/>
        <v>0</v>
      </c>
      <c r="AV73" s="233">
        <v>0</v>
      </c>
    </row>
    <row r="74" spans="1:49" s="62" customFormat="1" ht="26.25" hidden="1" customHeight="1">
      <c r="A74" s="59"/>
      <c r="B74" s="60"/>
      <c r="C74" s="60"/>
      <c r="D74" s="22"/>
      <c r="E74" s="79" t="s">
        <v>24</v>
      </c>
      <c r="F74" s="51" t="s">
        <v>65</v>
      </c>
      <c r="G74" s="275" t="s">
        <v>111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175</v>
      </c>
      <c r="V74" s="115">
        <v>1006</v>
      </c>
      <c r="W74" s="114">
        <v>43244</v>
      </c>
      <c r="X74" s="115" t="s">
        <v>179</v>
      </c>
      <c r="Y74" s="221">
        <v>43285</v>
      </c>
      <c r="Z74" s="115"/>
      <c r="AA74" s="115"/>
      <c r="AB74" s="22">
        <v>0</v>
      </c>
      <c r="AC74" s="170">
        <v>0</v>
      </c>
      <c r="AD74" s="208">
        <v>55</v>
      </c>
      <c r="AE74" s="170">
        <v>11119.9</v>
      </c>
      <c r="AF74" s="208"/>
      <c r="AG74" s="170"/>
      <c r="AH74" s="208"/>
      <c r="AI74" s="170"/>
      <c r="AJ74" s="233"/>
      <c r="AK74" s="170">
        <f t="shared" si="5"/>
        <v>11119.9</v>
      </c>
      <c r="AL74" s="270">
        <v>0</v>
      </c>
      <c r="AM74" s="170">
        <v>0</v>
      </c>
      <c r="AN74" s="270">
        <v>55</v>
      </c>
      <c r="AO74" s="170">
        <f t="shared" si="2"/>
        <v>11119.9</v>
      </c>
      <c r="AP74" s="233"/>
      <c r="AQ74" s="233"/>
      <c r="AR74" s="170">
        <v>202.18</v>
      </c>
      <c r="AS74" s="170">
        <f t="shared" si="3"/>
        <v>0</v>
      </c>
      <c r="AT74" s="247">
        <f t="shared" si="6"/>
        <v>0</v>
      </c>
      <c r="AU74" s="386">
        <f t="shared" si="4"/>
        <v>0</v>
      </c>
      <c r="AV74" s="233">
        <v>0</v>
      </c>
    </row>
    <row r="75" spans="1:49" s="62" customFormat="1" ht="26.25" customHeight="1">
      <c r="A75" s="59"/>
      <c r="B75" s="60"/>
      <c r="C75" s="60"/>
      <c r="D75" s="22"/>
      <c r="E75" s="79" t="s">
        <v>24</v>
      </c>
      <c r="F75" s="53" t="s">
        <v>65</v>
      </c>
      <c r="G75" s="222" t="s">
        <v>111</v>
      </c>
      <c r="H75" s="193" t="s">
        <v>91</v>
      </c>
      <c r="I75" s="193" t="s">
        <v>91</v>
      </c>
      <c r="J75" s="193"/>
      <c r="K75" s="193"/>
      <c r="L75" s="243"/>
      <c r="M75" s="242">
        <f t="shared" si="0"/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175</v>
      </c>
      <c r="V75" s="115">
        <v>877</v>
      </c>
      <c r="W75" s="114">
        <v>43230</v>
      </c>
      <c r="X75" s="193" t="s">
        <v>174</v>
      </c>
      <c r="Y75" s="200">
        <v>43285</v>
      </c>
      <c r="Z75" s="193"/>
      <c r="AA75" s="193"/>
      <c r="AB75" s="22">
        <v>0</v>
      </c>
      <c r="AC75" s="170">
        <v>0</v>
      </c>
      <c r="AD75" s="209">
        <v>210</v>
      </c>
      <c r="AE75" s="194">
        <v>42457.8</v>
      </c>
      <c r="AF75" s="209"/>
      <c r="AG75" s="194"/>
      <c r="AH75" s="209"/>
      <c r="AI75" s="194"/>
      <c r="AJ75" s="232"/>
      <c r="AK75" s="170">
        <f t="shared" si="5"/>
        <v>42457.8</v>
      </c>
      <c r="AL75" s="272">
        <v>0</v>
      </c>
      <c r="AM75" s="212">
        <v>0</v>
      </c>
      <c r="AN75" s="269">
        <v>210</v>
      </c>
      <c r="AO75" s="217">
        <f t="shared" si="2"/>
        <v>42457.8</v>
      </c>
      <c r="AP75" s="232"/>
      <c r="AQ75" s="229"/>
      <c r="AR75" s="212">
        <v>202.18</v>
      </c>
      <c r="AS75" s="212">
        <f t="shared" si="3"/>
        <v>0</v>
      </c>
      <c r="AT75" s="247">
        <f t="shared" si="6"/>
        <v>210</v>
      </c>
      <c r="AU75" s="228">
        <f t="shared" si="4"/>
        <v>42457.8</v>
      </c>
      <c r="AV75" s="279">
        <v>210</v>
      </c>
    </row>
    <row r="76" spans="1:49" s="62" customFormat="1" ht="26.25" customHeight="1">
      <c r="A76" s="59"/>
      <c r="B76" s="60"/>
      <c r="C76" s="60"/>
      <c r="D76" s="22"/>
      <c r="E76" s="79" t="s">
        <v>24</v>
      </c>
      <c r="F76" s="53" t="s">
        <v>65</v>
      </c>
      <c r="G76" s="222" t="s">
        <v>111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161</v>
      </c>
      <c r="V76" s="115">
        <v>1053</v>
      </c>
      <c r="W76" s="114">
        <v>43255</v>
      </c>
      <c r="X76" s="193" t="s">
        <v>177</v>
      </c>
      <c r="Y76" s="200">
        <v>43285</v>
      </c>
      <c r="Z76" s="193" t="s">
        <v>178</v>
      </c>
      <c r="AA76" s="200">
        <v>43269</v>
      </c>
      <c r="AB76" s="22">
        <v>0</v>
      </c>
      <c r="AC76" s="170">
        <v>0</v>
      </c>
      <c r="AD76" s="209">
        <v>105</v>
      </c>
      <c r="AE76" s="194">
        <v>21228.9</v>
      </c>
      <c r="AF76" s="209"/>
      <c r="AG76" s="194"/>
      <c r="AH76" s="209"/>
      <c r="AI76" s="194"/>
      <c r="AJ76" s="232"/>
      <c r="AK76" s="170">
        <f t="shared" si="5"/>
        <v>21228.9</v>
      </c>
      <c r="AL76" s="272">
        <v>0</v>
      </c>
      <c r="AM76" s="212">
        <v>0</v>
      </c>
      <c r="AN76" s="269">
        <v>105</v>
      </c>
      <c r="AO76" s="217">
        <f t="shared" si="2"/>
        <v>21228.9</v>
      </c>
      <c r="AP76" s="232"/>
      <c r="AQ76" s="229"/>
      <c r="AR76" s="212">
        <v>202.18</v>
      </c>
      <c r="AS76" s="212">
        <f t="shared" si="3"/>
        <v>0</v>
      </c>
      <c r="AT76" s="247">
        <f t="shared" si="6"/>
        <v>105</v>
      </c>
      <c r="AU76" s="228">
        <f t="shared" si="4"/>
        <v>21228.9</v>
      </c>
      <c r="AV76" s="279">
        <v>105</v>
      </c>
    </row>
    <row r="77" spans="1:49" s="62" customFormat="1" ht="26.25" customHeight="1">
      <c r="A77" s="59"/>
      <c r="B77" s="60"/>
      <c r="C77" s="60"/>
      <c r="D77" s="22"/>
      <c r="E77" s="79" t="s">
        <v>24</v>
      </c>
      <c r="F77" s="53" t="s">
        <v>65</v>
      </c>
      <c r="G77" s="222" t="s">
        <v>111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187</v>
      </c>
      <c r="V77" s="115">
        <v>1418</v>
      </c>
      <c r="W77" s="114">
        <v>43312</v>
      </c>
      <c r="X77" s="193" t="s">
        <v>184</v>
      </c>
      <c r="Y77" s="200">
        <v>43332</v>
      </c>
      <c r="Z77" s="193" t="s">
        <v>185</v>
      </c>
      <c r="AA77" s="200">
        <v>43320</v>
      </c>
      <c r="AB77" s="22">
        <v>0</v>
      </c>
      <c r="AC77" s="170">
        <v>0</v>
      </c>
      <c r="AD77" s="209">
        <v>30</v>
      </c>
      <c r="AE77" s="194">
        <v>5880</v>
      </c>
      <c r="AF77" s="209"/>
      <c r="AG77" s="194"/>
      <c r="AH77" s="209"/>
      <c r="AI77" s="194"/>
      <c r="AJ77" s="232"/>
      <c r="AK77" s="170">
        <f t="shared" si="5"/>
        <v>5880</v>
      </c>
      <c r="AL77" s="272">
        <v>0</v>
      </c>
      <c r="AM77" s="212">
        <v>0</v>
      </c>
      <c r="AN77" s="269">
        <v>30</v>
      </c>
      <c r="AO77" s="217">
        <v>0</v>
      </c>
      <c r="AP77" s="232"/>
      <c r="AQ77" s="229"/>
      <c r="AR77" s="212">
        <v>196</v>
      </c>
      <c r="AS77" s="212">
        <f t="shared" si="3"/>
        <v>0</v>
      </c>
      <c r="AT77" s="247">
        <f t="shared" si="6"/>
        <v>30</v>
      </c>
      <c r="AU77" s="228">
        <f t="shared" si="4"/>
        <v>5880</v>
      </c>
      <c r="AV77" s="279">
        <v>30</v>
      </c>
    </row>
    <row r="78" spans="1:49" s="62" customFormat="1" ht="26.25" customHeight="1">
      <c r="A78" s="59"/>
      <c r="B78" s="60"/>
      <c r="C78" s="60"/>
      <c r="D78" s="22"/>
      <c r="E78" s="79"/>
      <c r="F78" s="53" t="s">
        <v>65</v>
      </c>
      <c r="G78" s="222" t="s">
        <v>111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/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/>
      <c r="AK78" s="170"/>
      <c r="AL78" s="272"/>
      <c r="AM78" s="212"/>
      <c r="AN78" s="269"/>
      <c r="AO78" s="217"/>
      <c r="AP78" s="232"/>
      <c r="AQ78" s="229"/>
      <c r="AR78" s="212"/>
      <c r="AS78" s="212"/>
      <c r="AT78" s="247">
        <f t="shared" si="6"/>
        <v>30</v>
      </c>
      <c r="AU78" s="228"/>
      <c r="AV78" s="279">
        <v>30</v>
      </c>
    </row>
    <row r="79" spans="1:49" s="62" customFormat="1" ht="26.25" hidden="1" customHeight="1">
      <c r="A79" s="59"/>
      <c r="B79" s="60"/>
      <c r="C79" s="60"/>
      <c r="D79" s="22"/>
      <c r="E79" s="79" t="s">
        <v>24</v>
      </c>
      <c r="F79" s="51" t="s">
        <v>249</v>
      </c>
      <c r="G79" s="275" t="s">
        <v>146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>
        <v>250</v>
      </c>
      <c r="P79" s="276">
        <v>66042.58</v>
      </c>
      <c r="Q79" s="115"/>
      <c r="R79" s="276"/>
      <c r="S79" s="115"/>
      <c r="T79" s="276"/>
      <c r="U79" s="278" t="s">
        <v>181</v>
      </c>
      <c r="V79" s="115">
        <v>1405</v>
      </c>
      <c r="W79" s="114">
        <v>43052</v>
      </c>
      <c r="X79" s="115" t="s">
        <v>182</v>
      </c>
      <c r="Y79" s="221">
        <v>43201</v>
      </c>
      <c r="Z79" s="115"/>
      <c r="AA79" s="115"/>
      <c r="AB79" s="22">
        <v>0</v>
      </c>
      <c r="AC79" s="170">
        <v>0</v>
      </c>
      <c r="AD79" s="208">
        <v>125</v>
      </c>
      <c r="AE79" s="170">
        <v>26255</v>
      </c>
      <c r="AF79" s="208"/>
      <c r="AG79" s="170"/>
      <c r="AH79" s="208"/>
      <c r="AI79" s="170"/>
      <c r="AJ79" s="232"/>
      <c r="AK79" s="170">
        <f t="shared" si="5"/>
        <v>26255</v>
      </c>
      <c r="AL79" s="270">
        <f>63+62</f>
        <v>125</v>
      </c>
      <c r="AM79" s="170">
        <v>26255</v>
      </c>
      <c r="AN79" s="270">
        <v>0</v>
      </c>
      <c r="AO79" s="170">
        <f t="shared" si="2"/>
        <v>0</v>
      </c>
      <c r="AP79" s="233"/>
      <c r="AQ79" s="233"/>
      <c r="AR79" s="170">
        <v>210.04</v>
      </c>
      <c r="AS79" s="170">
        <f t="shared" si="3"/>
        <v>0</v>
      </c>
      <c r="AT79" s="247">
        <f t="shared" si="6"/>
        <v>0</v>
      </c>
      <c r="AU79" s="170">
        <f t="shared" si="4"/>
        <v>0</v>
      </c>
      <c r="AV79" s="233">
        <v>0</v>
      </c>
    </row>
    <row r="80" spans="1:49" s="62" customFormat="1" ht="26.25" hidden="1" customHeight="1">
      <c r="A80" s="59"/>
      <c r="B80" s="60"/>
      <c r="C80" s="60"/>
      <c r="D80" s="22"/>
      <c r="E80" s="79" t="s">
        <v>24</v>
      </c>
      <c r="F80" s="51" t="s">
        <v>249</v>
      </c>
      <c r="G80" s="275" t="s">
        <v>146</v>
      </c>
      <c r="H80" s="115" t="s">
        <v>91</v>
      </c>
      <c r="I80" s="115" t="s">
        <v>91</v>
      </c>
      <c r="J80" s="115"/>
      <c r="K80" s="115"/>
      <c r="L80" s="276"/>
      <c r="M80" s="277">
        <f t="shared" si="0"/>
        <v>0</v>
      </c>
      <c r="N80" s="276">
        <f t="shared" si="1"/>
        <v>0</v>
      </c>
      <c r="O80" s="115"/>
      <c r="P80" s="276"/>
      <c r="Q80" s="115"/>
      <c r="R80" s="276"/>
      <c r="S80" s="115"/>
      <c r="T80" s="276"/>
      <c r="U80" s="278" t="s">
        <v>145</v>
      </c>
      <c r="V80" s="115">
        <v>1381</v>
      </c>
      <c r="W80" s="114">
        <v>43047</v>
      </c>
      <c r="X80" s="115" t="s">
        <v>144</v>
      </c>
      <c r="Y80" s="221">
        <v>43201</v>
      </c>
      <c r="Z80" s="115"/>
      <c r="AA80" s="115"/>
      <c r="AB80" s="22">
        <v>0</v>
      </c>
      <c r="AC80" s="170">
        <v>0</v>
      </c>
      <c r="AD80" s="208">
        <v>80</v>
      </c>
      <c r="AE80" s="170">
        <v>16803.2</v>
      </c>
      <c r="AF80" s="208"/>
      <c r="AG80" s="170"/>
      <c r="AH80" s="208"/>
      <c r="AI80" s="170"/>
      <c r="AJ80" s="232"/>
      <c r="AK80" s="170">
        <f t="shared" si="5"/>
        <v>16803.2</v>
      </c>
      <c r="AL80" s="270">
        <v>80</v>
      </c>
      <c r="AM80" s="170">
        <v>16803.2</v>
      </c>
      <c r="AN80" s="270">
        <v>0</v>
      </c>
      <c r="AO80" s="170">
        <f t="shared" si="2"/>
        <v>0</v>
      </c>
      <c r="AP80" s="233"/>
      <c r="AQ80" s="233"/>
      <c r="AR80" s="170">
        <f>AM80/AL80</f>
        <v>210.04000000000002</v>
      </c>
      <c r="AS80" s="170">
        <f t="shared" si="3"/>
        <v>0</v>
      </c>
      <c r="AT80" s="247">
        <f t="shared" si="6"/>
        <v>0</v>
      </c>
      <c r="AU80" s="170">
        <f t="shared" si="4"/>
        <v>0</v>
      </c>
      <c r="AV80" s="233">
        <v>0</v>
      </c>
    </row>
    <row r="81" spans="1:48" s="62" customFormat="1" ht="26.25" hidden="1" customHeight="1">
      <c r="A81" s="59"/>
      <c r="B81" s="60"/>
      <c r="C81" s="60"/>
      <c r="D81" s="22"/>
      <c r="E81" s="79" t="s">
        <v>24</v>
      </c>
      <c r="F81" s="51" t="s">
        <v>249</v>
      </c>
      <c r="G81" s="275" t="s">
        <v>146</v>
      </c>
      <c r="H81" s="115" t="s">
        <v>91</v>
      </c>
      <c r="I81" s="115" t="s">
        <v>91</v>
      </c>
      <c r="J81" s="115"/>
      <c r="K81" s="115"/>
      <c r="L81" s="276"/>
      <c r="M81" s="277">
        <f t="shared" si="0"/>
        <v>0</v>
      </c>
      <c r="N81" s="276">
        <f t="shared" si="1"/>
        <v>0</v>
      </c>
      <c r="O81" s="115"/>
      <c r="P81" s="276"/>
      <c r="Q81" s="115"/>
      <c r="R81" s="276"/>
      <c r="S81" s="115"/>
      <c r="T81" s="276"/>
      <c r="U81" s="278" t="s">
        <v>148</v>
      </c>
      <c r="V81" s="115">
        <v>546</v>
      </c>
      <c r="W81" s="114">
        <v>43182</v>
      </c>
      <c r="X81" s="115" t="s">
        <v>149</v>
      </c>
      <c r="Y81" s="221">
        <v>43201</v>
      </c>
      <c r="Z81" s="115" t="s">
        <v>147</v>
      </c>
      <c r="AA81" s="221">
        <v>43252</v>
      </c>
      <c r="AB81" s="22">
        <v>0</v>
      </c>
      <c r="AC81" s="170">
        <v>0</v>
      </c>
      <c r="AD81" s="208">
        <v>10</v>
      </c>
      <c r="AE81" s="170">
        <v>2038.7</v>
      </c>
      <c r="AF81" s="208"/>
      <c r="AG81" s="170"/>
      <c r="AH81" s="208"/>
      <c r="AI81" s="170"/>
      <c r="AJ81" s="232"/>
      <c r="AK81" s="170">
        <f t="shared" si="5"/>
        <v>2038.7</v>
      </c>
      <c r="AL81" s="270">
        <v>10</v>
      </c>
      <c r="AM81" s="170">
        <v>2038.7</v>
      </c>
      <c r="AN81" s="270">
        <v>0</v>
      </c>
      <c r="AO81" s="170">
        <f t="shared" si="2"/>
        <v>0</v>
      </c>
      <c r="AP81" s="233"/>
      <c r="AQ81" s="233"/>
      <c r="AR81" s="170">
        <f>AM81/AL81</f>
        <v>203.87</v>
      </c>
      <c r="AS81" s="170">
        <f t="shared" si="3"/>
        <v>0</v>
      </c>
      <c r="AT81" s="247">
        <f t="shared" si="6"/>
        <v>0</v>
      </c>
      <c r="AU81" s="170">
        <f t="shared" si="4"/>
        <v>0</v>
      </c>
      <c r="AV81" s="233">
        <v>0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51" t="s">
        <v>250</v>
      </c>
      <c r="G82" s="275" t="s">
        <v>140</v>
      </c>
      <c r="H82" s="115" t="s">
        <v>91</v>
      </c>
      <c r="I82" s="115" t="s">
        <v>91</v>
      </c>
      <c r="J82" s="115">
        <v>1080</v>
      </c>
      <c r="K82" s="115">
        <v>2</v>
      </c>
      <c r="L82" s="276">
        <v>304.58999999999997</v>
      </c>
      <c r="M82" s="277">
        <f t="shared" si="0"/>
        <v>2160</v>
      </c>
      <c r="N82" s="276">
        <f t="shared" si="1"/>
        <v>657914.39999999991</v>
      </c>
      <c r="O82" s="115">
        <v>180</v>
      </c>
      <c r="P82" s="276">
        <v>49908.6</v>
      </c>
      <c r="Q82" s="115">
        <v>1080</v>
      </c>
      <c r="R82" s="276">
        <v>323838</v>
      </c>
      <c r="S82" s="115">
        <v>602</v>
      </c>
      <c r="T82" s="276">
        <v>183363.18</v>
      </c>
      <c r="U82" s="278" t="s">
        <v>139</v>
      </c>
      <c r="V82" s="115">
        <v>427</v>
      </c>
      <c r="W82" s="114">
        <v>43164</v>
      </c>
      <c r="X82" s="115" t="s">
        <v>138</v>
      </c>
      <c r="Y82" s="221">
        <v>43164</v>
      </c>
      <c r="Z82" s="115"/>
      <c r="AA82" s="115"/>
      <c r="AB82" s="22">
        <v>0</v>
      </c>
      <c r="AC82" s="170">
        <v>0</v>
      </c>
      <c r="AD82" s="208">
        <v>56</v>
      </c>
      <c r="AE82" s="170">
        <v>16794.400000000001</v>
      </c>
      <c r="AF82" s="208"/>
      <c r="AG82" s="170"/>
      <c r="AH82" s="208"/>
      <c r="AI82" s="170"/>
      <c r="AJ82" s="232"/>
      <c r="AK82" s="170">
        <f t="shared" si="5"/>
        <v>16794.400000000001</v>
      </c>
      <c r="AL82" s="270">
        <v>0</v>
      </c>
      <c r="AM82" s="170">
        <v>0</v>
      </c>
      <c r="AN82" s="270">
        <v>56</v>
      </c>
      <c r="AO82" s="170">
        <f t="shared" si="2"/>
        <v>16794.400000000001</v>
      </c>
      <c r="AP82" s="233"/>
      <c r="AQ82" s="233"/>
      <c r="AR82" s="170">
        <v>299.89999999999998</v>
      </c>
      <c r="AS82" s="170">
        <f t="shared" si="3"/>
        <v>0</v>
      </c>
      <c r="AT82" s="247">
        <f t="shared" si="6"/>
        <v>0</v>
      </c>
      <c r="AU82" s="386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51" t="s">
        <v>247</v>
      </c>
      <c r="G83" s="275" t="s">
        <v>114</v>
      </c>
      <c r="H83" s="115"/>
      <c r="I83" s="115"/>
      <c r="J83" s="115"/>
      <c r="K83" s="115"/>
      <c r="L83" s="276"/>
      <c r="M83" s="277"/>
      <c r="N83" s="276"/>
      <c r="O83" s="115"/>
      <c r="P83" s="276"/>
      <c r="Q83" s="115"/>
      <c r="R83" s="276"/>
      <c r="S83" s="115"/>
      <c r="T83" s="276"/>
      <c r="U83" s="278" t="s">
        <v>263</v>
      </c>
      <c r="V83" s="115"/>
      <c r="W83" s="114"/>
      <c r="X83" s="115"/>
      <c r="Y83" s="221"/>
      <c r="Z83" s="115"/>
      <c r="AA83" s="115"/>
      <c r="AB83" s="22"/>
      <c r="AC83" s="170"/>
      <c r="AD83" s="208"/>
      <c r="AE83" s="170"/>
      <c r="AF83" s="208"/>
      <c r="AG83" s="170"/>
      <c r="AH83" s="208"/>
      <c r="AI83" s="170"/>
      <c r="AJ83" s="233">
        <v>36</v>
      </c>
      <c r="AK83" s="170"/>
      <c r="AL83" s="270"/>
      <c r="AM83" s="170"/>
      <c r="AN83" s="270"/>
      <c r="AO83" s="170"/>
      <c r="AP83" s="233"/>
      <c r="AQ83" s="233"/>
      <c r="AR83" s="170"/>
      <c r="AS83" s="170"/>
      <c r="AT83" s="233">
        <f t="shared" si="6"/>
        <v>0</v>
      </c>
      <c r="AU83" s="386"/>
      <c r="AV83" s="233">
        <v>0</v>
      </c>
    </row>
    <row r="84" spans="1:48" s="62" customFormat="1" ht="25.5" customHeight="1">
      <c r="A84" s="59"/>
      <c r="B84" s="60"/>
      <c r="C84" s="60"/>
      <c r="D84" s="22"/>
      <c r="E84" s="79"/>
      <c r="F84" s="51" t="s">
        <v>247</v>
      </c>
      <c r="G84" s="275" t="s">
        <v>114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278" t="s">
        <v>262</v>
      </c>
      <c r="V84" s="115"/>
      <c r="W84" s="114"/>
      <c r="X84" s="115"/>
      <c r="Y84" s="221"/>
      <c r="Z84" s="115"/>
      <c r="AA84" s="115"/>
      <c r="AB84" s="22"/>
      <c r="AC84" s="170"/>
      <c r="AD84" s="208"/>
      <c r="AE84" s="170"/>
      <c r="AF84" s="208"/>
      <c r="AG84" s="170"/>
      <c r="AH84" s="208"/>
      <c r="AI84" s="170"/>
      <c r="AJ84" s="233">
        <v>234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33">
        <f t="shared" si="6"/>
        <v>0</v>
      </c>
      <c r="AU84" s="386"/>
      <c r="AV84" s="233">
        <v>0</v>
      </c>
    </row>
    <row r="85" spans="1:48" s="62" customFormat="1" ht="25.5" customHeight="1">
      <c r="A85" s="59"/>
      <c r="B85" s="60"/>
      <c r="C85" s="60"/>
      <c r="D85" s="22"/>
      <c r="E85" s="79"/>
      <c r="F85" s="51" t="s">
        <v>247</v>
      </c>
      <c r="G85" s="275" t="s">
        <v>114</v>
      </c>
      <c r="H85" s="115"/>
      <c r="I85" s="115"/>
      <c r="J85" s="115"/>
      <c r="K85" s="115"/>
      <c r="L85" s="276"/>
      <c r="M85" s="277"/>
      <c r="N85" s="276"/>
      <c r="O85" s="115"/>
      <c r="P85" s="276"/>
      <c r="Q85" s="115"/>
      <c r="R85" s="276"/>
      <c r="S85" s="115"/>
      <c r="T85" s="276"/>
      <c r="U85" s="278" t="s">
        <v>263</v>
      </c>
      <c r="V85" s="115"/>
      <c r="W85" s="114"/>
      <c r="X85" s="115"/>
      <c r="Y85" s="221"/>
      <c r="Z85" s="115"/>
      <c r="AA85" s="115"/>
      <c r="AB85" s="22"/>
      <c r="AC85" s="170"/>
      <c r="AD85" s="208"/>
      <c r="AE85" s="170"/>
      <c r="AF85" s="208"/>
      <c r="AG85" s="170"/>
      <c r="AH85" s="208"/>
      <c r="AI85" s="170"/>
      <c r="AJ85" s="233">
        <v>14</v>
      </c>
      <c r="AK85" s="170"/>
      <c r="AL85" s="270"/>
      <c r="AM85" s="170"/>
      <c r="AN85" s="270"/>
      <c r="AO85" s="170"/>
      <c r="AP85" s="233"/>
      <c r="AQ85" s="233"/>
      <c r="AR85" s="170"/>
      <c r="AS85" s="170"/>
      <c r="AT85" s="233">
        <f t="shared" si="6"/>
        <v>0</v>
      </c>
      <c r="AU85" s="386"/>
      <c r="AV85" s="233">
        <v>0</v>
      </c>
    </row>
    <row r="86" spans="1:48" s="103" customFormat="1" ht="25.5" customHeight="1">
      <c r="A86" s="283"/>
      <c r="B86" s="101"/>
      <c r="C86" s="101"/>
      <c r="D86" s="22"/>
      <c r="E86" s="104"/>
      <c r="F86" s="51" t="s">
        <v>375</v>
      </c>
      <c r="G86" s="275" t="s">
        <v>114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283</v>
      </c>
      <c r="V86" s="115"/>
      <c r="W86" s="114"/>
      <c r="X86" s="115"/>
      <c r="Y86" s="221"/>
      <c r="Z86" s="115"/>
      <c r="AA86" s="115"/>
      <c r="AB86" s="22"/>
      <c r="AC86" s="170"/>
      <c r="AD86" s="208"/>
      <c r="AE86" s="170"/>
      <c r="AF86" s="208"/>
      <c r="AG86" s="170"/>
      <c r="AH86" s="208"/>
      <c r="AI86" s="170"/>
      <c r="AJ86" s="208">
        <v>76</v>
      </c>
      <c r="AK86" s="170"/>
      <c r="AL86" s="35"/>
      <c r="AM86" s="170"/>
      <c r="AN86" s="35"/>
      <c r="AO86" s="170"/>
      <c r="AP86" s="208"/>
      <c r="AQ86" s="208"/>
      <c r="AR86" s="170"/>
      <c r="AS86" s="170"/>
      <c r="AT86" s="208">
        <f t="shared" si="6"/>
        <v>0</v>
      </c>
      <c r="AU86" s="170"/>
      <c r="AV86" s="208">
        <v>0</v>
      </c>
    </row>
    <row r="87" spans="1:48" s="62" customFormat="1" ht="25.5" customHeight="1">
      <c r="A87" s="59"/>
      <c r="B87" s="60"/>
      <c r="C87" s="60"/>
      <c r="D87" s="22"/>
      <c r="E87" s="79"/>
      <c r="F87" s="140" t="s">
        <v>55</v>
      </c>
      <c r="G87" s="222" t="s">
        <v>114</v>
      </c>
      <c r="H87" s="115"/>
      <c r="I87" s="115"/>
      <c r="J87" s="115"/>
      <c r="K87" s="115"/>
      <c r="L87" s="276"/>
      <c r="M87" s="277"/>
      <c r="N87" s="276"/>
      <c r="O87" s="115"/>
      <c r="P87" s="276"/>
      <c r="Q87" s="115"/>
      <c r="R87" s="276"/>
      <c r="S87" s="115"/>
      <c r="T87" s="276"/>
      <c r="U87" s="657" t="s">
        <v>356</v>
      </c>
      <c r="V87" s="115"/>
      <c r="W87" s="114"/>
      <c r="X87" s="115"/>
      <c r="Y87" s="221"/>
      <c r="Z87" s="115"/>
      <c r="AA87" s="115"/>
      <c r="AB87" s="22"/>
      <c r="AC87" s="170"/>
      <c r="AD87" s="208"/>
      <c r="AE87" s="170"/>
      <c r="AF87" s="208"/>
      <c r="AG87" s="170"/>
      <c r="AH87" s="208"/>
      <c r="AI87" s="170"/>
      <c r="AJ87" s="232">
        <v>16</v>
      </c>
      <c r="AK87" s="170"/>
      <c r="AL87" s="270"/>
      <c r="AM87" s="170"/>
      <c r="AN87" s="270"/>
      <c r="AO87" s="170"/>
      <c r="AP87" s="233"/>
      <c r="AQ87" s="233"/>
      <c r="AR87" s="170"/>
      <c r="AS87" s="170"/>
      <c r="AT87" s="247">
        <f t="shared" si="6"/>
        <v>6</v>
      </c>
      <c r="AU87" s="386"/>
      <c r="AV87" s="279">
        <v>6</v>
      </c>
    </row>
    <row r="88" spans="1:48" s="62" customFormat="1" ht="25.5" customHeight="1">
      <c r="A88" s="59"/>
      <c r="B88" s="60"/>
      <c r="C88" s="60"/>
      <c r="D88" s="22"/>
      <c r="E88" s="79"/>
      <c r="F88" s="140" t="s">
        <v>55</v>
      </c>
      <c r="G88" s="222" t="s">
        <v>114</v>
      </c>
      <c r="H88" s="115"/>
      <c r="I88" s="115"/>
      <c r="J88" s="115"/>
      <c r="K88" s="115"/>
      <c r="L88" s="276"/>
      <c r="M88" s="277"/>
      <c r="N88" s="276"/>
      <c r="O88" s="115"/>
      <c r="P88" s="276"/>
      <c r="Q88" s="115"/>
      <c r="R88" s="276"/>
      <c r="S88" s="115"/>
      <c r="T88" s="276"/>
      <c r="U88" s="657" t="s">
        <v>357</v>
      </c>
      <c r="V88" s="115"/>
      <c r="W88" s="114"/>
      <c r="X88" s="115"/>
      <c r="Y88" s="221"/>
      <c r="Z88" s="115"/>
      <c r="AA88" s="115"/>
      <c r="AB88" s="22"/>
      <c r="AC88" s="170"/>
      <c r="AD88" s="208"/>
      <c r="AE88" s="170"/>
      <c r="AF88" s="208"/>
      <c r="AG88" s="170"/>
      <c r="AH88" s="208"/>
      <c r="AI88" s="170"/>
      <c r="AJ88" s="232">
        <v>50</v>
      </c>
      <c r="AK88" s="170"/>
      <c r="AL88" s="270"/>
      <c r="AM88" s="170"/>
      <c r="AN88" s="270"/>
      <c r="AO88" s="170"/>
      <c r="AP88" s="233"/>
      <c r="AQ88" s="233"/>
      <c r="AR88" s="170"/>
      <c r="AS88" s="170"/>
      <c r="AT88" s="247">
        <f t="shared" si="6"/>
        <v>0</v>
      </c>
      <c r="AU88" s="386"/>
      <c r="AV88" s="279">
        <v>0</v>
      </c>
    </row>
    <row r="89" spans="1:48" s="62" customFormat="1" ht="25.5" customHeight="1">
      <c r="A89" s="59"/>
      <c r="B89" s="60"/>
      <c r="C89" s="60"/>
      <c r="D89" s="22"/>
      <c r="E89" s="79"/>
      <c r="F89" s="140" t="s">
        <v>55</v>
      </c>
      <c r="G89" s="222" t="s">
        <v>114</v>
      </c>
      <c r="H89" s="115"/>
      <c r="I89" s="115"/>
      <c r="J89" s="115"/>
      <c r="K89" s="115"/>
      <c r="L89" s="276"/>
      <c r="M89" s="277"/>
      <c r="N89" s="276"/>
      <c r="O89" s="115"/>
      <c r="P89" s="276"/>
      <c r="Q89" s="115"/>
      <c r="R89" s="276"/>
      <c r="S89" s="115"/>
      <c r="T89" s="276"/>
      <c r="U89" s="657" t="s">
        <v>356</v>
      </c>
      <c r="V89" s="115"/>
      <c r="W89" s="114"/>
      <c r="X89" s="115"/>
      <c r="Y89" s="221"/>
      <c r="Z89" s="115"/>
      <c r="AA89" s="115"/>
      <c r="AB89" s="22"/>
      <c r="AC89" s="170"/>
      <c r="AD89" s="208"/>
      <c r="AE89" s="170"/>
      <c r="AF89" s="208"/>
      <c r="AG89" s="170"/>
      <c r="AH89" s="208"/>
      <c r="AI89" s="170"/>
      <c r="AJ89" s="232">
        <v>24</v>
      </c>
      <c r="AK89" s="170"/>
      <c r="AL89" s="270"/>
      <c r="AM89" s="170"/>
      <c r="AN89" s="270"/>
      <c r="AO89" s="170"/>
      <c r="AP89" s="233"/>
      <c r="AQ89" s="233"/>
      <c r="AR89" s="170"/>
      <c r="AS89" s="170"/>
      <c r="AT89" s="247">
        <f t="shared" si="6"/>
        <v>24</v>
      </c>
      <c r="AU89" s="386"/>
      <c r="AV89" s="279">
        <v>24</v>
      </c>
    </row>
    <row r="90" spans="1:48" s="62" customFormat="1" ht="25.5" customHeight="1">
      <c r="A90" s="59"/>
      <c r="B90" s="60"/>
      <c r="C90" s="60"/>
      <c r="D90" s="22"/>
      <c r="E90" s="79"/>
      <c r="F90" s="173" t="s">
        <v>64</v>
      </c>
      <c r="G90" s="222" t="s">
        <v>140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244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/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6"/>
        <v>236</v>
      </c>
      <c r="AU90" s="228"/>
      <c r="AV90" s="279">
        <v>236</v>
      </c>
    </row>
    <row r="91" spans="1:48" s="62" customFormat="1" ht="25.5" customHeight="1">
      <c r="A91" s="59"/>
      <c r="B91" s="60"/>
      <c r="C91" s="60"/>
      <c r="D91" s="22"/>
      <c r="E91" s="79"/>
      <c r="F91" s="173" t="s">
        <v>64</v>
      </c>
      <c r="G91" s="222" t="s">
        <v>140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264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224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6"/>
        <v>224</v>
      </c>
      <c r="AU91" s="228"/>
      <c r="AV91" s="279">
        <v>224</v>
      </c>
    </row>
    <row r="92" spans="1:48" s="62" customFormat="1" ht="25.5" customHeight="1">
      <c r="A92" s="59"/>
      <c r="B92" s="60"/>
      <c r="C92" s="60"/>
      <c r="D92" s="22"/>
      <c r="E92" s="79"/>
      <c r="F92" s="173" t="s">
        <v>64</v>
      </c>
      <c r="G92" s="222" t="s">
        <v>140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244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176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6"/>
        <v>176</v>
      </c>
      <c r="AU92" s="228"/>
      <c r="AV92" s="279">
        <v>176</v>
      </c>
    </row>
    <row r="93" spans="1:48" s="62" customFormat="1" ht="25.5" customHeight="1">
      <c r="A93" s="59"/>
      <c r="B93" s="60"/>
      <c r="C93" s="60"/>
      <c r="D93" s="22"/>
      <c r="E93" s="79"/>
      <c r="F93" s="173" t="s">
        <v>64</v>
      </c>
      <c r="G93" s="222" t="s">
        <v>140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285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154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6"/>
        <v>154</v>
      </c>
      <c r="AU93" s="228"/>
      <c r="AV93" s="279">
        <v>154</v>
      </c>
    </row>
    <row r="94" spans="1:48" s="62" customFormat="1" ht="25.5" customHeight="1">
      <c r="A94" s="59"/>
      <c r="B94" s="60"/>
      <c r="C94" s="60"/>
      <c r="D94" s="22"/>
      <c r="E94" s="79"/>
      <c r="F94" s="173" t="s">
        <v>64</v>
      </c>
      <c r="G94" s="222" t="s">
        <v>140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293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84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ref="AT94:AT115" si="9">AV94</f>
        <v>84</v>
      </c>
      <c r="AU94" s="228"/>
      <c r="AV94" s="279">
        <v>84</v>
      </c>
    </row>
    <row r="95" spans="1:48" s="62" customFormat="1" ht="25.5" customHeight="1">
      <c r="A95" s="59"/>
      <c r="B95" s="60"/>
      <c r="C95" s="60"/>
      <c r="D95" s="22"/>
      <c r="E95" s="79"/>
      <c r="F95" s="173" t="s">
        <v>64</v>
      </c>
      <c r="G95" s="222" t="s">
        <v>140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293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48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48</v>
      </c>
      <c r="AU95" s="228"/>
      <c r="AV95" s="279">
        <v>48</v>
      </c>
    </row>
    <row r="96" spans="1:48" s="62" customFormat="1" ht="25.5" customHeight="1">
      <c r="A96" s="59"/>
      <c r="B96" s="60"/>
      <c r="C96" s="60"/>
      <c r="D96" s="22"/>
      <c r="E96" s="79"/>
      <c r="F96" s="173" t="s">
        <v>64</v>
      </c>
      <c r="G96" s="222" t="s">
        <v>140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 t="s">
        <v>323</v>
      </c>
      <c r="V96" s="115"/>
      <c r="W96" s="114"/>
      <c r="X96" s="193"/>
      <c r="Y96" s="200"/>
      <c r="Z96" s="193"/>
      <c r="AA96" s="200"/>
      <c r="AB96" s="22"/>
      <c r="AC96" s="170"/>
      <c r="AD96" s="209"/>
      <c r="AE96" s="194"/>
      <c r="AF96" s="209"/>
      <c r="AG96" s="194"/>
      <c r="AH96" s="209"/>
      <c r="AI96" s="194"/>
      <c r="AJ96" s="232">
        <v>36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47">
        <f t="shared" si="9"/>
        <v>36</v>
      </c>
      <c r="AU96" s="228"/>
      <c r="AV96" s="279">
        <v>36</v>
      </c>
    </row>
    <row r="97" spans="1:48" s="62" customFormat="1" ht="25.5" customHeight="1">
      <c r="A97" s="59"/>
      <c r="B97" s="60"/>
      <c r="C97" s="60"/>
      <c r="D97" s="22"/>
      <c r="E97" s="79"/>
      <c r="F97" s="173" t="s">
        <v>64</v>
      </c>
      <c r="G97" s="222" t="s">
        <v>140</v>
      </c>
      <c r="H97" s="193"/>
      <c r="I97" s="193"/>
      <c r="J97" s="193"/>
      <c r="K97" s="193"/>
      <c r="L97" s="243"/>
      <c r="M97" s="242"/>
      <c r="N97" s="243"/>
      <c r="O97" s="193"/>
      <c r="P97" s="243"/>
      <c r="Q97" s="193"/>
      <c r="R97" s="243"/>
      <c r="S97" s="193"/>
      <c r="T97" s="243"/>
      <c r="U97" s="657" t="s">
        <v>358</v>
      </c>
      <c r="V97" s="115"/>
      <c r="W97" s="114"/>
      <c r="X97" s="193"/>
      <c r="Y97" s="200"/>
      <c r="Z97" s="193"/>
      <c r="AA97" s="200"/>
      <c r="AB97" s="22"/>
      <c r="AC97" s="170"/>
      <c r="AD97" s="209"/>
      <c r="AE97" s="194"/>
      <c r="AF97" s="209"/>
      <c r="AG97" s="194"/>
      <c r="AH97" s="209"/>
      <c r="AI97" s="194"/>
      <c r="AJ97" s="232">
        <v>60</v>
      </c>
      <c r="AK97" s="170"/>
      <c r="AL97" s="272"/>
      <c r="AM97" s="212"/>
      <c r="AN97" s="269"/>
      <c r="AO97" s="217"/>
      <c r="AP97" s="232"/>
      <c r="AQ97" s="229"/>
      <c r="AR97" s="212"/>
      <c r="AS97" s="212"/>
      <c r="AT97" s="247">
        <f t="shared" si="9"/>
        <v>60</v>
      </c>
      <c r="AU97" s="228"/>
      <c r="AV97" s="279">
        <v>60</v>
      </c>
    </row>
    <row r="98" spans="1:48" s="62" customFormat="1" ht="25.5" customHeight="1">
      <c r="A98" s="59"/>
      <c r="B98" s="60"/>
      <c r="C98" s="60"/>
      <c r="D98" s="22"/>
      <c r="E98" s="79"/>
      <c r="F98" s="173" t="s">
        <v>64</v>
      </c>
      <c r="G98" s="222" t="s">
        <v>140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57" t="s">
        <v>358</v>
      </c>
      <c r="V98" s="115"/>
      <c r="W98" s="114"/>
      <c r="X98" s="193"/>
      <c r="Y98" s="200"/>
      <c r="Z98" s="193"/>
      <c r="AA98" s="200"/>
      <c r="AB98" s="22"/>
      <c r="AC98" s="170"/>
      <c r="AD98" s="209"/>
      <c r="AE98" s="194"/>
      <c r="AF98" s="209"/>
      <c r="AG98" s="194"/>
      <c r="AH98" s="209"/>
      <c r="AI98" s="194"/>
      <c r="AJ98" s="232">
        <v>156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156</v>
      </c>
      <c r="AU98" s="228"/>
      <c r="AV98" s="279">
        <v>156</v>
      </c>
    </row>
    <row r="99" spans="1:48" s="62" customFormat="1" ht="25.5" customHeight="1">
      <c r="A99" s="59"/>
      <c r="B99" s="60"/>
      <c r="C99" s="60"/>
      <c r="D99" s="22"/>
      <c r="E99" s="79"/>
      <c r="F99" s="173" t="s">
        <v>64</v>
      </c>
      <c r="G99" s="222" t="s">
        <v>140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57" t="s">
        <v>361</v>
      </c>
      <c r="V99" s="115"/>
      <c r="W99" s="114"/>
      <c r="X99" s="193"/>
      <c r="Y99" s="200"/>
      <c r="Z99" s="193"/>
      <c r="AA99" s="200"/>
      <c r="AB99" s="22"/>
      <c r="AC99" s="170"/>
      <c r="AD99" s="209"/>
      <c r="AE99" s="194"/>
      <c r="AF99" s="209"/>
      <c r="AG99" s="194"/>
      <c r="AH99" s="209"/>
      <c r="AI99" s="194"/>
      <c r="AJ99" s="232">
        <v>134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134</v>
      </c>
      <c r="AU99" s="228"/>
      <c r="AV99" s="279">
        <v>134</v>
      </c>
    </row>
    <row r="100" spans="1:48" s="62" customFormat="1" ht="25.5" customHeight="1">
      <c r="A100" s="59"/>
      <c r="B100" s="60"/>
      <c r="C100" s="427"/>
      <c r="D100" s="428"/>
      <c r="E100" s="79"/>
      <c r="F100" s="173" t="s">
        <v>64</v>
      </c>
      <c r="G100" s="222" t="s">
        <v>140</v>
      </c>
      <c r="H100" s="193"/>
      <c r="I100" s="193"/>
      <c r="J100" s="193"/>
      <c r="K100" s="193"/>
      <c r="L100" s="243"/>
      <c r="M100" s="242"/>
      <c r="N100" s="243"/>
      <c r="O100" s="193"/>
      <c r="P100" s="243"/>
      <c r="Q100" s="193"/>
      <c r="R100" s="243"/>
      <c r="S100" s="193"/>
      <c r="T100" s="243"/>
      <c r="U100" s="203" t="s">
        <v>366</v>
      </c>
      <c r="V100" s="115"/>
      <c r="W100" s="114"/>
      <c r="X100" s="193"/>
      <c r="Y100" s="200"/>
      <c r="Z100" s="193"/>
      <c r="AA100" s="200"/>
      <c r="AB100" s="22"/>
      <c r="AC100" s="170"/>
      <c r="AD100" s="209"/>
      <c r="AE100" s="194"/>
      <c r="AF100" s="209"/>
      <c r="AG100" s="194"/>
      <c r="AH100" s="209"/>
      <c r="AI100" s="194"/>
      <c r="AJ100" s="232">
        <v>90</v>
      </c>
      <c r="AK100" s="170"/>
      <c r="AL100" s="272"/>
      <c r="AM100" s="212"/>
      <c r="AN100" s="269"/>
      <c r="AO100" s="217"/>
      <c r="AP100" s="232"/>
      <c r="AQ100" s="229"/>
      <c r="AR100" s="212"/>
      <c r="AS100" s="212"/>
      <c r="AT100" s="247">
        <f t="shared" si="9"/>
        <v>90</v>
      </c>
      <c r="AU100" s="228"/>
      <c r="AV100" s="279">
        <v>90</v>
      </c>
    </row>
    <row r="101" spans="1:48" s="62" customFormat="1" ht="25.5" customHeight="1">
      <c r="A101" s="59"/>
      <c r="B101" s="60"/>
      <c r="C101" s="427"/>
      <c r="D101" s="428"/>
      <c r="E101" s="79"/>
      <c r="F101" s="173" t="s">
        <v>64</v>
      </c>
      <c r="G101" s="222" t="s">
        <v>140</v>
      </c>
      <c r="H101" s="193"/>
      <c r="I101" s="193"/>
      <c r="J101" s="193"/>
      <c r="K101" s="193"/>
      <c r="L101" s="243"/>
      <c r="M101" s="242"/>
      <c r="N101" s="243"/>
      <c r="O101" s="193"/>
      <c r="P101" s="243"/>
      <c r="Q101" s="193"/>
      <c r="R101" s="243"/>
      <c r="S101" s="193"/>
      <c r="T101" s="243"/>
      <c r="U101" s="203" t="s">
        <v>366</v>
      </c>
      <c r="V101" s="115"/>
      <c r="W101" s="114"/>
      <c r="X101" s="193"/>
      <c r="Y101" s="200"/>
      <c r="Z101" s="193"/>
      <c r="AA101" s="200"/>
      <c r="AB101" s="22"/>
      <c r="AC101" s="170"/>
      <c r="AD101" s="209"/>
      <c r="AE101" s="194"/>
      <c r="AF101" s="209"/>
      <c r="AG101" s="194"/>
      <c r="AH101" s="209"/>
      <c r="AI101" s="194"/>
      <c r="AJ101" s="232">
        <v>12</v>
      </c>
      <c r="AK101" s="170"/>
      <c r="AL101" s="272"/>
      <c r="AM101" s="212"/>
      <c r="AN101" s="269"/>
      <c r="AO101" s="217"/>
      <c r="AP101" s="232"/>
      <c r="AQ101" s="229"/>
      <c r="AR101" s="212"/>
      <c r="AS101" s="212"/>
      <c r="AT101" s="247">
        <f t="shared" si="9"/>
        <v>12</v>
      </c>
      <c r="AU101" s="228"/>
      <c r="AV101" s="279">
        <v>12</v>
      </c>
    </row>
    <row r="102" spans="1:48" s="62" customFormat="1" ht="31.5">
      <c r="A102" s="59"/>
      <c r="B102" s="60"/>
      <c r="C102" s="60"/>
      <c r="D102" s="22"/>
      <c r="E102" s="79"/>
      <c r="F102" s="51" t="s">
        <v>57</v>
      </c>
      <c r="G102" s="275" t="s">
        <v>121</v>
      </c>
      <c r="H102" s="115"/>
      <c r="I102" s="115"/>
      <c r="J102" s="115"/>
      <c r="K102" s="115"/>
      <c r="L102" s="276"/>
      <c r="M102" s="277"/>
      <c r="N102" s="276"/>
      <c r="O102" s="115"/>
      <c r="P102" s="276"/>
      <c r="Q102" s="115"/>
      <c r="R102" s="276"/>
      <c r="S102" s="115"/>
      <c r="T102" s="276"/>
      <c r="U102" s="278" t="s">
        <v>266</v>
      </c>
      <c r="V102" s="115"/>
      <c r="W102" s="114"/>
      <c r="X102" s="115"/>
      <c r="Y102" s="221"/>
      <c r="Z102" s="115"/>
      <c r="AA102" s="221"/>
      <c r="AB102" s="22"/>
      <c r="AC102" s="170"/>
      <c r="AD102" s="208"/>
      <c r="AE102" s="170"/>
      <c r="AF102" s="208"/>
      <c r="AG102" s="170"/>
      <c r="AH102" s="208"/>
      <c r="AI102" s="170"/>
      <c r="AJ102" s="233">
        <v>766</v>
      </c>
      <c r="AK102" s="170"/>
      <c r="AL102" s="270"/>
      <c r="AM102" s="170"/>
      <c r="AN102" s="270"/>
      <c r="AO102" s="170"/>
      <c r="AP102" s="233"/>
      <c r="AQ102" s="233"/>
      <c r="AR102" s="170"/>
      <c r="AS102" s="170"/>
      <c r="AT102" s="233">
        <f t="shared" si="9"/>
        <v>0</v>
      </c>
      <c r="AU102" s="386"/>
      <c r="AV102" s="233">
        <v>0</v>
      </c>
    </row>
    <row r="103" spans="1:48" s="62" customFormat="1" ht="31.5">
      <c r="A103" s="59"/>
      <c r="B103" s="60"/>
      <c r="C103" s="60"/>
      <c r="D103" s="22"/>
      <c r="E103" s="79"/>
      <c r="F103" s="51" t="s">
        <v>57</v>
      </c>
      <c r="G103" s="275" t="s">
        <v>121</v>
      </c>
      <c r="H103" s="115"/>
      <c r="I103" s="115"/>
      <c r="J103" s="115"/>
      <c r="K103" s="115"/>
      <c r="L103" s="276"/>
      <c r="M103" s="277"/>
      <c r="N103" s="276"/>
      <c r="O103" s="115"/>
      <c r="P103" s="276"/>
      <c r="Q103" s="115"/>
      <c r="R103" s="276"/>
      <c r="S103" s="115"/>
      <c r="T103" s="276"/>
      <c r="U103" s="278" t="s">
        <v>266</v>
      </c>
      <c r="V103" s="115"/>
      <c r="W103" s="114"/>
      <c r="X103" s="115"/>
      <c r="Y103" s="221"/>
      <c r="Z103" s="115"/>
      <c r="AA103" s="221"/>
      <c r="AB103" s="22"/>
      <c r="AC103" s="170"/>
      <c r="AD103" s="208"/>
      <c r="AE103" s="170"/>
      <c r="AF103" s="208"/>
      <c r="AG103" s="170"/>
      <c r="AH103" s="208"/>
      <c r="AI103" s="170"/>
      <c r="AJ103" s="233">
        <v>450</v>
      </c>
      <c r="AK103" s="170"/>
      <c r="AL103" s="270"/>
      <c r="AM103" s="170"/>
      <c r="AN103" s="270"/>
      <c r="AO103" s="170"/>
      <c r="AP103" s="233"/>
      <c r="AQ103" s="233"/>
      <c r="AR103" s="170"/>
      <c r="AS103" s="170"/>
      <c r="AT103" s="233">
        <f t="shared" si="9"/>
        <v>0</v>
      </c>
      <c r="AU103" s="386"/>
      <c r="AV103" s="233">
        <v>0</v>
      </c>
    </row>
    <row r="104" spans="1:48" s="62" customFormat="1" ht="31.5">
      <c r="A104" s="59"/>
      <c r="B104" s="60"/>
      <c r="C104" s="60"/>
      <c r="D104" s="22"/>
      <c r="E104" s="79"/>
      <c r="F104" s="51" t="s">
        <v>57</v>
      </c>
      <c r="G104" s="275" t="s">
        <v>279</v>
      </c>
      <c r="H104" s="115"/>
      <c r="I104" s="115"/>
      <c r="J104" s="115"/>
      <c r="K104" s="115"/>
      <c r="L104" s="276"/>
      <c r="M104" s="277"/>
      <c r="N104" s="276"/>
      <c r="O104" s="115"/>
      <c r="P104" s="276"/>
      <c r="Q104" s="115"/>
      <c r="R104" s="276"/>
      <c r="S104" s="115"/>
      <c r="T104" s="276"/>
      <c r="U104" s="278" t="s">
        <v>266</v>
      </c>
      <c r="V104" s="115"/>
      <c r="W104" s="114"/>
      <c r="X104" s="115"/>
      <c r="Y104" s="221"/>
      <c r="Z104" s="115"/>
      <c r="AA104" s="221"/>
      <c r="AB104" s="22"/>
      <c r="AC104" s="170"/>
      <c r="AD104" s="208"/>
      <c r="AE104" s="170"/>
      <c r="AF104" s="208"/>
      <c r="AG104" s="170"/>
      <c r="AH104" s="208"/>
      <c r="AI104" s="170"/>
      <c r="AJ104" s="233">
        <v>610</v>
      </c>
      <c r="AK104" s="170"/>
      <c r="AL104" s="270"/>
      <c r="AM104" s="170"/>
      <c r="AN104" s="270"/>
      <c r="AO104" s="170"/>
      <c r="AP104" s="233"/>
      <c r="AQ104" s="233"/>
      <c r="AR104" s="170"/>
      <c r="AS104" s="170"/>
      <c r="AT104" s="233">
        <f t="shared" si="9"/>
        <v>0</v>
      </c>
      <c r="AU104" s="386"/>
      <c r="AV104" s="233">
        <v>0</v>
      </c>
    </row>
    <row r="105" spans="1:48" s="62" customFormat="1" ht="31.5">
      <c r="A105" s="59"/>
      <c r="B105" s="60"/>
      <c r="C105" s="60"/>
      <c r="D105" s="22"/>
      <c r="E105" s="79"/>
      <c r="F105" s="51" t="s">
        <v>57</v>
      </c>
      <c r="G105" s="275" t="s">
        <v>279</v>
      </c>
      <c r="H105" s="115"/>
      <c r="I105" s="115"/>
      <c r="J105" s="115"/>
      <c r="K105" s="115"/>
      <c r="L105" s="276"/>
      <c r="M105" s="277"/>
      <c r="N105" s="276"/>
      <c r="O105" s="115"/>
      <c r="P105" s="276"/>
      <c r="Q105" s="115"/>
      <c r="R105" s="276"/>
      <c r="S105" s="115"/>
      <c r="T105" s="276"/>
      <c r="U105" s="278" t="s">
        <v>284</v>
      </c>
      <c r="V105" s="115"/>
      <c r="W105" s="114"/>
      <c r="X105" s="115"/>
      <c r="Y105" s="221"/>
      <c r="Z105" s="115"/>
      <c r="AA105" s="221"/>
      <c r="AB105" s="22"/>
      <c r="AC105" s="170"/>
      <c r="AD105" s="208"/>
      <c r="AE105" s="170"/>
      <c r="AF105" s="208"/>
      <c r="AG105" s="170"/>
      <c r="AH105" s="208"/>
      <c r="AI105" s="170"/>
      <c r="AJ105" s="233">
        <v>723</v>
      </c>
      <c r="AK105" s="170"/>
      <c r="AL105" s="270"/>
      <c r="AM105" s="170"/>
      <c r="AN105" s="270"/>
      <c r="AO105" s="170"/>
      <c r="AP105" s="233"/>
      <c r="AQ105" s="233"/>
      <c r="AR105" s="170"/>
      <c r="AS105" s="170"/>
      <c r="AT105" s="233">
        <f t="shared" si="9"/>
        <v>0</v>
      </c>
      <c r="AU105" s="386"/>
      <c r="AV105" s="233">
        <v>0</v>
      </c>
    </row>
    <row r="106" spans="1:48" s="62" customFormat="1" ht="31.5">
      <c r="A106" s="59"/>
      <c r="B106" s="60"/>
      <c r="C106" s="60"/>
      <c r="D106" s="22"/>
      <c r="E106" s="79"/>
      <c r="F106" s="51" t="s">
        <v>57</v>
      </c>
      <c r="G106" s="275" t="s">
        <v>279</v>
      </c>
      <c r="H106" s="115"/>
      <c r="I106" s="115"/>
      <c r="J106" s="115"/>
      <c r="K106" s="115"/>
      <c r="L106" s="276"/>
      <c r="M106" s="277"/>
      <c r="N106" s="276"/>
      <c r="O106" s="115"/>
      <c r="P106" s="276"/>
      <c r="Q106" s="115"/>
      <c r="R106" s="276"/>
      <c r="S106" s="115"/>
      <c r="T106" s="276"/>
      <c r="U106" s="278" t="s">
        <v>311</v>
      </c>
      <c r="V106" s="115"/>
      <c r="W106" s="114"/>
      <c r="X106" s="115"/>
      <c r="Y106" s="221"/>
      <c r="Z106" s="115"/>
      <c r="AA106" s="221"/>
      <c r="AB106" s="22"/>
      <c r="AC106" s="170"/>
      <c r="AD106" s="208"/>
      <c r="AE106" s="170"/>
      <c r="AF106" s="208"/>
      <c r="AG106" s="170"/>
      <c r="AH106" s="208"/>
      <c r="AI106" s="170"/>
      <c r="AJ106" s="233">
        <v>724</v>
      </c>
      <c r="AK106" s="170"/>
      <c r="AL106" s="270"/>
      <c r="AM106" s="170"/>
      <c r="AN106" s="270"/>
      <c r="AO106" s="170"/>
      <c r="AP106" s="233"/>
      <c r="AQ106" s="233"/>
      <c r="AR106" s="170"/>
      <c r="AS106" s="170"/>
      <c r="AT106" s="233">
        <f t="shared" si="9"/>
        <v>0</v>
      </c>
      <c r="AU106" s="386"/>
      <c r="AV106" s="233">
        <v>0</v>
      </c>
    </row>
    <row r="107" spans="1:48" s="62" customFormat="1" ht="31.5">
      <c r="A107" s="59"/>
      <c r="B107" s="60"/>
      <c r="C107" s="60"/>
      <c r="D107" s="22"/>
      <c r="E107" s="79"/>
      <c r="F107" s="150" t="s">
        <v>57</v>
      </c>
      <c r="G107" s="222" t="s">
        <v>279</v>
      </c>
      <c r="H107" s="193"/>
      <c r="I107" s="193"/>
      <c r="J107" s="193"/>
      <c r="K107" s="193"/>
      <c r="L107" s="243"/>
      <c r="M107" s="242"/>
      <c r="N107" s="243"/>
      <c r="O107" s="193"/>
      <c r="P107" s="243"/>
      <c r="Q107" s="193"/>
      <c r="R107" s="243"/>
      <c r="S107" s="193"/>
      <c r="T107" s="243"/>
      <c r="U107" s="203" t="s">
        <v>311</v>
      </c>
      <c r="V107" s="115"/>
      <c r="W107" s="114"/>
      <c r="X107" s="193"/>
      <c r="Y107" s="200"/>
      <c r="Z107" s="193"/>
      <c r="AA107" s="200"/>
      <c r="AB107" s="22"/>
      <c r="AC107" s="170"/>
      <c r="AD107" s="209"/>
      <c r="AE107" s="194"/>
      <c r="AF107" s="209"/>
      <c r="AG107" s="194"/>
      <c r="AH107" s="209"/>
      <c r="AI107" s="194"/>
      <c r="AJ107" s="232">
        <v>726</v>
      </c>
      <c r="AK107" s="170"/>
      <c r="AL107" s="272"/>
      <c r="AM107" s="212"/>
      <c r="AN107" s="269"/>
      <c r="AO107" s="217"/>
      <c r="AP107" s="232"/>
      <c r="AQ107" s="229"/>
      <c r="AR107" s="212"/>
      <c r="AS107" s="212"/>
      <c r="AT107" s="247">
        <f t="shared" si="9"/>
        <v>139</v>
      </c>
      <c r="AU107" s="228"/>
      <c r="AV107" s="279">
        <v>139</v>
      </c>
    </row>
    <row r="108" spans="1:48" s="62" customFormat="1" ht="31.5">
      <c r="A108" s="59"/>
      <c r="B108" s="60"/>
      <c r="C108" s="60"/>
      <c r="D108" s="22"/>
      <c r="E108" s="79"/>
      <c r="F108" s="150" t="s">
        <v>57</v>
      </c>
      <c r="G108" s="222" t="s">
        <v>279</v>
      </c>
      <c r="H108" s="193"/>
      <c r="I108" s="193"/>
      <c r="J108" s="193"/>
      <c r="K108" s="193"/>
      <c r="L108" s="243"/>
      <c r="M108" s="242"/>
      <c r="N108" s="243"/>
      <c r="O108" s="193"/>
      <c r="P108" s="243"/>
      <c r="Q108" s="193"/>
      <c r="R108" s="243"/>
      <c r="S108" s="193"/>
      <c r="T108" s="243"/>
      <c r="U108" s="203" t="s">
        <v>311</v>
      </c>
      <c r="V108" s="115"/>
      <c r="W108" s="114"/>
      <c r="X108" s="193"/>
      <c r="Y108" s="200"/>
      <c r="Z108" s="193"/>
      <c r="AA108" s="200"/>
      <c r="AB108" s="22"/>
      <c r="AC108" s="170"/>
      <c r="AD108" s="209"/>
      <c r="AE108" s="194"/>
      <c r="AF108" s="209"/>
      <c r="AG108" s="194"/>
      <c r="AH108" s="209"/>
      <c r="AI108" s="194"/>
      <c r="AJ108" s="232">
        <v>544</v>
      </c>
      <c r="AK108" s="170"/>
      <c r="AL108" s="272"/>
      <c r="AM108" s="212"/>
      <c r="AN108" s="269"/>
      <c r="AO108" s="217"/>
      <c r="AP108" s="232"/>
      <c r="AQ108" s="229"/>
      <c r="AR108" s="212"/>
      <c r="AS108" s="212"/>
      <c r="AT108" s="247">
        <f t="shared" si="9"/>
        <v>544</v>
      </c>
      <c r="AU108" s="228"/>
      <c r="AV108" s="279">
        <v>544</v>
      </c>
    </row>
    <row r="109" spans="1:48" s="62" customFormat="1" ht="31.5">
      <c r="A109" s="59"/>
      <c r="B109" s="60"/>
      <c r="C109" s="60"/>
      <c r="D109" s="22"/>
      <c r="E109" s="79"/>
      <c r="F109" s="150" t="s">
        <v>57</v>
      </c>
      <c r="G109" s="222" t="s">
        <v>279</v>
      </c>
      <c r="H109" s="193"/>
      <c r="I109" s="193"/>
      <c r="J109" s="193"/>
      <c r="K109" s="193"/>
      <c r="L109" s="243"/>
      <c r="M109" s="242"/>
      <c r="N109" s="243"/>
      <c r="O109" s="193"/>
      <c r="P109" s="243"/>
      <c r="Q109" s="193"/>
      <c r="R109" s="243"/>
      <c r="S109" s="193"/>
      <c r="T109" s="243"/>
      <c r="U109" s="203" t="s">
        <v>311</v>
      </c>
      <c r="V109" s="115"/>
      <c r="W109" s="114"/>
      <c r="X109" s="193"/>
      <c r="Y109" s="200"/>
      <c r="Z109" s="193"/>
      <c r="AA109" s="200"/>
      <c r="AB109" s="22"/>
      <c r="AC109" s="170"/>
      <c r="AD109" s="209"/>
      <c r="AE109" s="194"/>
      <c r="AF109" s="209"/>
      <c r="AG109" s="194"/>
      <c r="AH109" s="209"/>
      <c r="AI109" s="194"/>
      <c r="AJ109" s="232">
        <v>30</v>
      </c>
      <c r="AK109" s="170"/>
      <c r="AL109" s="272"/>
      <c r="AM109" s="212"/>
      <c r="AN109" s="269"/>
      <c r="AO109" s="217"/>
      <c r="AP109" s="232"/>
      <c r="AQ109" s="229"/>
      <c r="AR109" s="212"/>
      <c r="AS109" s="212"/>
      <c r="AT109" s="247">
        <f t="shared" si="9"/>
        <v>30</v>
      </c>
      <c r="AU109" s="228"/>
      <c r="AV109" s="279">
        <v>30</v>
      </c>
    </row>
    <row r="110" spans="1:48" s="62" customFormat="1" ht="26.25" customHeight="1">
      <c r="A110" s="59"/>
      <c r="B110" s="60"/>
      <c r="C110" s="60"/>
      <c r="D110" s="22"/>
      <c r="E110" s="79" t="s">
        <v>24</v>
      </c>
      <c r="F110" s="161" t="s">
        <v>61</v>
      </c>
      <c r="G110" s="222" t="s">
        <v>127</v>
      </c>
      <c r="H110" s="193" t="s">
        <v>91</v>
      </c>
      <c r="I110" s="193" t="s">
        <v>91</v>
      </c>
      <c r="J110" s="193">
        <v>48</v>
      </c>
      <c r="K110" s="193">
        <v>3</v>
      </c>
      <c r="L110" s="243">
        <v>71.97</v>
      </c>
      <c r="M110" s="242">
        <f t="shared" ref="M110:M111" si="10">J110*K110</f>
        <v>144</v>
      </c>
      <c r="N110" s="243">
        <f t="shared" ref="N110:N111" si="11">L110*M110</f>
        <v>10363.68</v>
      </c>
      <c r="O110" s="193">
        <v>14</v>
      </c>
      <c r="P110" s="243">
        <v>714.98</v>
      </c>
      <c r="Q110" s="193"/>
      <c r="R110" s="243"/>
      <c r="S110" s="193"/>
      <c r="T110" s="243"/>
      <c r="U110" s="203" t="s">
        <v>128</v>
      </c>
      <c r="V110" s="115">
        <v>135</v>
      </c>
      <c r="W110" s="114">
        <v>42761</v>
      </c>
      <c r="X110" s="193" t="s">
        <v>126</v>
      </c>
      <c r="Y110" s="200">
        <v>43130</v>
      </c>
      <c r="Z110" s="193"/>
      <c r="AA110" s="193"/>
      <c r="AB110" s="22">
        <v>0</v>
      </c>
      <c r="AC110" s="170">
        <v>0</v>
      </c>
      <c r="AD110" s="209">
        <v>14</v>
      </c>
      <c r="AE110" s="194">
        <v>774.48</v>
      </c>
      <c r="AF110" s="209"/>
      <c r="AG110" s="194"/>
      <c r="AH110" s="209"/>
      <c r="AI110" s="194"/>
      <c r="AJ110" s="232"/>
      <c r="AK110" s="170">
        <f t="shared" si="5"/>
        <v>774.48</v>
      </c>
      <c r="AL110" s="272">
        <v>0</v>
      </c>
      <c r="AM110" s="212">
        <v>0</v>
      </c>
      <c r="AN110" s="269">
        <v>14</v>
      </c>
      <c r="AO110" s="217">
        <f t="shared" ref="AO110:AO111" si="12">AC110+AK110-AM110</f>
        <v>774.48</v>
      </c>
      <c r="AP110" s="232"/>
      <c r="AQ110" s="229"/>
      <c r="AR110" s="212">
        <v>55.32</v>
      </c>
      <c r="AS110" s="212">
        <f t="shared" si="3"/>
        <v>0</v>
      </c>
      <c r="AT110" s="247">
        <f t="shared" si="9"/>
        <v>8</v>
      </c>
      <c r="AU110" s="228">
        <f t="shared" si="4"/>
        <v>442.56</v>
      </c>
      <c r="AV110" s="279">
        <v>8</v>
      </c>
    </row>
    <row r="111" spans="1:48" s="62" customFormat="1" ht="26.25" customHeight="1">
      <c r="A111" s="59"/>
      <c r="B111" s="60"/>
      <c r="C111" s="60"/>
      <c r="D111" s="22"/>
      <c r="E111" s="79" t="s">
        <v>24</v>
      </c>
      <c r="F111" s="161" t="s">
        <v>61</v>
      </c>
      <c r="G111" s="222" t="s">
        <v>127</v>
      </c>
      <c r="H111" s="193" t="s">
        <v>91</v>
      </c>
      <c r="I111" s="193" t="s">
        <v>91</v>
      </c>
      <c r="J111" s="193"/>
      <c r="K111" s="193"/>
      <c r="L111" s="243"/>
      <c r="M111" s="242">
        <f t="shared" si="10"/>
        <v>0</v>
      </c>
      <c r="N111" s="243">
        <f t="shared" si="11"/>
        <v>0</v>
      </c>
      <c r="O111" s="193"/>
      <c r="P111" s="243"/>
      <c r="Q111" s="193"/>
      <c r="R111" s="243"/>
      <c r="S111" s="193"/>
      <c r="T111" s="243"/>
      <c r="U111" s="203" t="s">
        <v>171</v>
      </c>
      <c r="V111" s="115">
        <v>834</v>
      </c>
      <c r="W111" s="114">
        <v>43222</v>
      </c>
      <c r="X111" s="193" t="s">
        <v>162</v>
      </c>
      <c r="Y111" s="200">
        <v>43242</v>
      </c>
      <c r="Z111" s="193"/>
      <c r="AA111" s="193"/>
      <c r="AB111" s="22">
        <v>0</v>
      </c>
      <c r="AC111" s="170">
        <v>0</v>
      </c>
      <c r="AD111" s="209">
        <v>26</v>
      </c>
      <c r="AE111" s="194">
        <v>1438.32</v>
      </c>
      <c r="AF111" s="209"/>
      <c r="AG111" s="194"/>
      <c r="AH111" s="209"/>
      <c r="AI111" s="194"/>
      <c r="AJ111" s="232"/>
      <c r="AK111" s="170">
        <f t="shared" si="5"/>
        <v>1438.32</v>
      </c>
      <c r="AL111" s="272">
        <v>0</v>
      </c>
      <c r="AM111" s="212">
        <v>0</v>
      </c>
      <c r="AN111" s="269">
        <v>26</v>
      </c>
      <c r="AO111" s="217">
        <f t="shared" si="12"/>
        <v>1438.32</v>
      </c>
      <c r="AP111" s="232"/>
      <c r="AQ111" s="229"/>
      <c r="AR111" s="212">
        <v>55.32</v>
      </c>
      <c r="AS111" s="212">
        <f t="shared" si="3"/>
        <v>0</v>
      </c>
      <c r="AT111" s="247">
        <f t="shared" si="9"/>
        <v>26</v>
      </c>
      <c r="AU111" s="228">
        <f t="shared" si="4"/>
        <v>1438.32</v>
      </c>
      <c r="AV111" s="279">
        <v>26</v>
      </c>
    </row>
    <row r="112" spans="1:48" s="62" customFormat="1" ht="38.25">
      <c r="A112" s="59"/>
      <c r="B112" s="60"/>
      <c r="C112" s="60"/>
      <c r="D112" s="22"/>
      <c r="E112" s="79"/>
      <c r="F112" s="632" t="s">
        <v>339</v>
      </c>
      <c r="G112" s="222" t="s">
        <v>340</v>
      </c>
      <c r="H112" s="193"/>
      <c r="I112" s="193"/>
      <c r="J112" s="193"/>
      <c r="K112" s="193"/>
      <c r="L112" s="243"/>
      <c r="M112" s="242"/>
      <c r="N112" s="243"/>
      <c r="O112" s="193"/>
      <c r="P112" s="243"/>
      <c r="Q112" s="193"/>
      <c r="R112" s="243"/>
      <c r="S112" s="193"/>
      <c r="T112" s="243"/>
      <c r="U112" s="607" t="s">
        <v>341</v>
      </c>
      <c r="V112" s="608"/>
      <c r="W112" s="609"/>
      <c r="X112" s="610"/>
      <c r="Y112" s="611"/>
      <c r="Z112" s="610"/>
      <c r="AA112" s="610"/>
      <c r="AB112" s="22"/>
      <c r="AC112" s="170"/>
      <c r="AD112" s="209"/>
      <c r="AE112" s="194"/>
      <c r="AF112" s="209"/>
      <c r="AG112" s="194"/>
      <c r="AH112" s="209"/>
      <c r="AI112" s="194"/>
      <c r="AJ112" s="232">
        <v>37</v>
      </c>
      <c r="AK112" s="170"/>
      <c r="AL112" s="272"/>
      <c r="AM112" s="212"/>
      <c r="AN112" s="269"/>
      <c r="AO112" s="217"/>
      <c r="AP112" s="232"/>
      <c r="AQ112" s="229"/>
      <c r="AR112" s="212"/>
      <c r="AS112" s="212"/>
      <c r="AT112" s="247">
        <f t="shared" si="9"/>
        <v>37</v>
      </c>
      <c r="AU112" s="228"/>
      <c r="AV112" s="279">
        <v>37</v>
      </c>
    </row>
    <row r="113" spans="1:48" s="62" customFormat="1" ht="38.25">
      <c r="A113" s="59"/>
      <c r="B113" s="60"/>
      <c r="C113" s="60"/>
      <c r="D113" s="22"/>
      <c r="E113" s="79"/>
      <c r="F113" s="632" t="s">
        <v>339</v>
      </c>
      <c r="G113" s="222" t="s">
        <v>340</v>
      </c>
      <c r="H113" s="193"/>
      <c r="I113" s="193"/>
      <c r="J113" s="193"/>
      <c r="K113" s="193"/>
      <c r="L113" s="243"/>
      <c r="M113" s="242"/>
      <c r="N113" s="243"/>
      <c r="O113" s="193"/>
      <c r="P113" s="243"/>
      <c r="Q113" s="193"/>
      <c r="R113" s="243"/>
      <c r="S113" s="193"/>
      <c r="T113" s="243"/>
      <c r="U113" s="607" t="s">
        <v>345</v>
      </c>
      <c r="V113" s="608"/>
      <c r="W113" s="609"/>
      <c r="X113" s="610"/>
      <c r="Y113" s="611"/>
      <c r="Z113" s="610"/>
      <c r="AA113" s="610"/>
      <c r="AB113" s="22"/>
      <c r="AC113" s="170"/>
      <c r="AD113" s="209"/>
      <c r="AE113" s="194"/>
      <c r="AF113" s="209"/>
      <c r="AG113" s="194"/>
      <c r="AH113" s="209"/>
      <c r="AI113" s="194"/>
      <c r="AJ113" s="232">
        <v>36</v>
      </c>
      <c r="AK113" s="170"/>
      <c r="AL113" s="272"/>
      <c r="AM113" s="212"/>
      <c r="AN113" s="269"/>
      <c r="AO113" s="217"/>
      <c r="AP113" s="232"/>
      <c r="AQ113" s="229"/>
      <c r="AR113" s="212"/>
      <c r="AS113" s="212"/>
      <c r="AT113" s="247">
        <f t="shared" si="9"/>
        <v>36</v>
      </c>
      <c r="AU113" s="228"/>
      <c r="AV113" s="279">
        <v>36</v>
      </c>
    </row>
    <row r="114" spans="1:48" s="62" customFormat="1" ht="38.25">
      <c r="A114" s="59"/>
      <c r="B114" s="60"/>
      <c r="C114" s="427"/>
      <c r="D114" s="612"/>
      <c r="E114" s="606"/>
      <c r="F114" s="632" t="s">
        <v>339</v>
      </c>
      <c r="G114" s="222" t="s">
        <v>340</v>
      </c>
      <c r="H114" s="193"/>
      <c r="I114" s="193"/>
      <c r="J114" s="193"/>
      <c r="K114" s="193"/>
      <c r="L114" s="243"/>
      <c r="M114" s="242"/>
      <c r="N114" s="243"/>
      <c r="O114" s="193"/>
      <c r="P114" s="243"/>
      <c r="Q114" s="193"/>
      <c r="R114" s="243"/>
      <c r="S114" s="193"/>
      <c r="T114" s="243"/>
      <c r="U114" s="607" t="s">
        <v>370</v>
      </c>
      <c r="V114" s="608"/>
      <c r="W114" s="609"/>
      <c r="X114" s="610"/>
      <c r="Y114" s="611"/>
      <c r="Z114" s="610"/>
      <c r="AA114" s="610"/>
      <c r="AB114" s="22"/>
      <c r="AC114" s="170"/>
      <c r="AD114" s="209"/>
      <c r="AE114" s="194"/>
      <c r="AF114" s="209"/>
      <c r="AG114" s="194"/>
      <c r="AH114" s="209"/>
      <c r="AI114" s="194"/>
      <c r="AJ114" s="232">
        <v>39</v>
      </c>
      <c r="AK114" s="170"/>
      <c r="AL114" s="272"/>
      <c r="AM114" s="212"/>
      <c r="AN114" s="269"/>
      <c r="AO114" s="217"/>
      <c r="AP114" s="232"/>
      <c r="AQ114" s="229"/>
      <c r="AR114" s="212"/>
      <c r="AS114" s="212"/>
      <c r="AT114" s="247">
        <f t="shared" si="9"/>
        <v>39</v>
      </c>
      <c r="AU114" s="228"/>
      <c r="AV114" s="279">
        <v>39</v>
      </c>
    </row>
    <row r="115" spans="1:48" s="62" customFormat="1" ht="38.25">
      <c r="A115" s="59"/>
      <c r="B115" s="60"/>
      <c r="C115" s="427"/>
      <c r="D115" s="612"/>
      <c r="E115" s="606"/>
      <c r="F115" s="632" t="s">
        <v>339</v>
      </c>
      <c r="G115" s="222" t="s">
        <v>340</v>
      </c>
      <c r="H115" s="193"/>
      <c r="I115" s="193"/>
      <c r="J115" s="193"/>
      <c r="K115" s="193"/>
      <c r="L115" s="243"/>
      <c r="M115" s="242"/>
      <c r="N115" s="243"/>
      <c r="O115" s="193"/>
      <c r="P115" s="243"/>
      <c r="Q115" s="193"/>
      <c r="R115" s="243"/>
      <c r="S115" s="193"/>
      <c r="T115" s="243"/>
      <c r="U115" s="607" t="s">
        <v>371</v>
      </c>
      <c r="V115" s="608"/>
      <c r="W115" s="609"/>
      <c r="X115" s="610"/>
      <c r="Y115" s="611"/>
      <c r="Z115" s="610"/>
      <c r="AA115" s="610"/>
      <c r="AB115" s="22"/>
      <c r="AC115" s="170"/>
      <c r="AD115" s="209"/>
      <c r="AE115" s="194"/>
      <c r="AF115" s="209"/>
      <c r="AG115" s="194"/>
      <c r="AH115" s="209"/>
      <c r="AI115" s="194"/>
      <c r="AJ115" s="232">
        <v>39</v>
      </c>
      <c r="AK115" s="170"/>
      <c r="AL115" s="272"/>
      <c r="AM115" s="212"/>
      <c r="AN115" s="269"/>
      <c r="AO115" s="217"/>
      <c r="AP115" s="232"/>
      <c r="AQ115" s="229"/>
      <c r="AR115" s="212"/>
      <c r="AS115" s="212"/>
      <c r="AT115" s="247">
        <f t="shared" si="9"/>
        <v>39</v>
      </c>
      <c r="AU115" s="228"/>
      <c r="AV115" s="279">
        <v>39</v>
      </c>
    </row>
    <row r="116" spans="1:48" s="251" customFormat="1" ht="21" customHeight="1">
      <c r="A116" s="20" t="s">
        <v>11</v>
      </c>
      <c r="B116" s="20"/>
      <c r="C116" s="20"/>
      <c r="D116" s="695" t="s">
        <v>34</v>
      </c>
      <c r="E116" s="696"/>
      <c r="F116" s="697"/>
      <c r="G116" s="246"/>
      <c r="H116" s="246"/>
      <c r="I116" s="246"/>
      <c r="J116" s="246"/>
      <c r="K116" s="247">
        <f>SUM(K17:K111)</f>
        <v>24</v>
      </c>
      <c r="L116" s="248"/>
      <c r="M116" s="246"/>
      <c r="N116" s="249">
        <f>SUM(N17:N111)</f>
        <v>2156307.44</v>
      </c>
      <c r="O116" s="248"/>
      <c r="P116" s="249">
        <f>SUM(P17:P111)</f>
        <v>1298976.4000000001</v>
      </c>
      <c r="Q116" s="248"/>
      <c r="R116" s="249">
        <f>SUM(R17:R111)</f>
        <v>928054.79999999993</v>
      </c>
      <c r="S116" s="248"/>
      <c r="T116" s="249">
        <f>SUM(T17:T111)</f>
        <v>466648.98</v>
      </c>
      <c r="U116" s="291" t="s">
        <v>156</v>
      </c>
      <c r="V116" s="291" t="s">
        <v>156</v>
      </c>
      <c r="W116" s="291" t="s">
        <v>156</v>
      </c>
      <c r="X116" s="250" t="s">
        <v>156</v>
      </c>
      <c r="Y116" s="250" t="s">
        <v>156</v>
      </c>
      <c r="Z116" s="250" t="s">
        <v>156</v>
      </c>
      <c r="AA116" s="250" t="s">
        <v>156</v>
      </c>
      <c r="AB116" s="176">
        <f>SUM(AB17:AB53)</f>
        <v>140</v>
      </c>
      <c r="AC116" s="171">
        <f>SUM(AC17:AC81)</f>
        <v>77947.959999999992</v>
      </c>
      <c r="AD116" s="210">
        <f t="shared" ref="AD116:AQ116" si="13">SUM(AD17:AD111)</f>
        <v>4404</v>
      </c>
      <c r="AE116" s="195">
        <f t="shared" si="13"/>
        <v>925803.50999999989</v>
      </c>
      <c r="AF116" s="210">
        <f t="shared" si="13"/>
        <v>0</v>
      </c>
      <c r="AG116" s="195">
        <f t="shared" si="13"/>
        <v>0</v>
      </c>
      <c r="AH116" s="210">
        <f t="shared" si="13"/>
        <v>0</v>
      </c>
      <c r="AI116" s="195">
        <f t="shared" si="13"/>
        <v>0</v>
      </c>
      <c r="AJ116" s="210">
        <f>SUM(AJ17:AJ115)</f>
        <v>10528</v>
      </c>
      <c r="AK116" s="175">
        <f t="shared" si="13"/>
        <v>925803.50999999989</v>
      </c>
      <c r="AL116" s="213">
        <f t="shared" si="13"/>
        <v>742</v>
      </c>
      <c r="AM116" s="214">
        <f t="shared" si="13"/>
        <v>175808.55000000005</v>
      </c>
      <c r="AN116" s="218">
        <f t="shared" si="13"/>
        <v>3802</v>
      </c>
      <c r="AO116" s="219">
        <f t="shared" si="13"/>
        <v>811349.99000000011</v>
      </c>
      <c r="AP116" s="286">
        <f t="shared" si="13"/>
        <v>0</v>
      </c>
      <c r="AQ116" s="287">
        <f t="shared" si="13"/>
        <v>0</v>
      </c>
      <c r="AR116" s="226" t="s">
        <v>156</v>
      </c>
      <c r="AS116" s="226">
        <f>SUM(AS17:AS111)</f>
        <v>0</v>
      </c>
      <c r="AT116" s="227">
        <f>SUM(AT17:AT115)</f>
        <v>5732</v>
      </c>
      <c r="AU116" s="228">
        <f>SUM(AU17:AU111)</f>
        <v>162672.95999999999</v>
      </c>
      <c r="AV116" s="510">
        <f>SUM(AV17:AV115)</f>
        <v>5732</v>
      </c>
    </row>
    <row r="117" spans="1:48" s="336" customFormat="1" ht="21" customHeight="1">
      <c r="A117" s="20"/>
      <c r="B117" s="20"/>
      <c r="C117" s="20"/>
      <c r="D117" s="294"/>
      <c r="E117" s="294"/>
      <c r="F117" s="294"/>
      <c r="G117" s="330"/>
      <c r="H117" s="330"/>
      <c r="I117" s="330"/>
      <c r="J117" s="330"/>
      <c r="K117" s="331"/>
      <c r="L117" s="332"/>
      <c r="M117" s="330"/>
      <c r="N117" s="333"/>
      <c r="O117" s="332"/>
      <c r="P117" s="333"/>
      <c r="Q117" s="332"/>
      <c r="R117" s="333"/>
      <c r="S117" s="332"/>
      <c r="T117" s="333"/>
      <c r="U117" s="295"/>
      <c r="V117" s="295"/>
      <c r="W117" s="295"/>
      <c r="X117" s="295"/>
      <c r="Y117" s="295"/>
      <c r="Z117" s="295"/>
      <c r="AA117" s="295"/>
      <c r="AB117" s="296"/>
      <c r="AC117" s="297"/>
      <c r="AD117" s="296"/>
      <c r="AE117" s="297"/>
      <c r="AF117" s="296"/>
      <c r="AG117" s="297"/>
      <c r="AH117" s="296"/>
      <c r="AI117" s="297"/>
      <c r="AJ117" s="478"/>
      <c r="AK117" s="299"/>
      <c r="AL117" s="334"/>
      <c r="AM117" s="297"/>
      <c r="AN117" s="296"/>
      <c r="AO117" s="297"/>
      <c r="AP117" s="298"/>
      <c r="AQ117" s="335"/>
      <c r="AR117" s="333"/>
      <c r="AS117" s="333"/>
      <c r="AT117" s="331"/>
      <c r="AU117" s="333"/>
      <c r="AV117" s="331"/>
    </row>
    <row r="118" spans="1:48" s="336" customFormat="1" ht="21" hidden="1" customHeight="1">
      <c r="A118" s="20"/>
      <c r="B118" s="20"/>
      <c r="C118" s="20"/>
      <c r="D118" s="294"/>
      <c r="E118" s="294"/>
      <c r="F118" s="294"/>
      <c r="G118" s="330"/>
      <c r="H118" s="330"/>
      <c r="I118" s="330"/>
      <c r="J118" s="330"/>
      <c r="K118" s="331"/>
      <c r="L118" s="332"/>
      <c r="M118" s="330"/>
      <c r="N118" s="333"/>
      <c r="O118" s="332"/>
      <c r="P118" s="333"/>
      <c r="Q118" s="332"/>
      <c r="R118" s="333"/>
      <c r="S118" s="332"/>
      <c r="T118" s="333"/>
      <c r="U118" s="295"/>
      <c r="V118" s="295"/>
      <c r="W118" s="295"/>
      <c r="X118" s="295"/>
      <c r="Y118" s="295"/>
      <c r="Z118" s="295"/>
      <c r="AA118" s="295"/>
      <c r="AB118" s="296"/>
      <c r="AC118" s="297"/>
      <c r="AD118" s="296"/>
      <c r="AE118" s="297"/>
      <c r="AF118" s="296"/>
      <c r="AG118" s="297"/>
      <c r="AH118" s="296"/>
      <c r="AI118" s="297"/>
      <c r="AJ118" s="478"/>
      <c r="AK118" s="299"/>
      <c r="AL118" s="334"/>
      <c r="AM118" s="297"/>
      <c r="AN118" s="296"/>
      <c r="AO118" s="297"/>
      <c r="AP118" s="298"/>
      <c r="AQ118" s="335"/>
      <c r="AR118" s="333"/>
      <c r="AS118" s="333"/>
      <c r="AT118" s="331"/>
      <c r="AU118" s="333"/>
      <c r="AV118" s="331"/>
    </row>
    <row r="119" spans="1:48" s="292" customFormat="1" ht="20.25" hidden="1">
      <c r="A119" s="301"/>
      <c r="B119" s="301"/>
      <c r="C119" s="301"/>
      <c r="D119" s="302"/>
      <c r="E119" s="301"/>
      <c r="F119" s="303" t="s">
        <v>205</v>
      </c>
      <c r="G119" s="303"/>
      <c r="H119" s="303" t="s">
        <v>208</v>
      </c>
      <c r="I119" s="303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3"/>
      <c r="V119" s="303"/>
      <c r="X119" s="303"/>
      <c r="Y119" s="303"/>
      <c r="Z119" s="303"/>
      <c r="AA119" s="303" t="s">
        <v>208</v>
      </c>
      <c r="AB119" s="303"/>
      <c r="AC119" s="303"/>
      <c r="AD119" s="303"/>
      <c r="AE119" s="303"/>
      <c r="AF119" s="303"/>
      <c r="AG119" s="303"/>
      <c r="AH119" s="303"/>
      <c r="AI119" s="303"/>
      <c r="AJ119" s="479"/>
      <c r="AK119" s="303"/>
      <c r="AL119" s="301"/>
      <c r="AM119" s="303"/>
      <c r="AN119" s="305"/>
      <c r="AO119" s="306"/>
      <c r="AP119" s="307"/>
      <c r="AQ119" s="302"/>
      <c r="AR119" s="308"/>
      <c r="AS119" s="308"/>
      <c r="AT119" s="302"/>
      <c r="AU119" s="302"/>
      <c r="AV119" s="302"/>
    </row>
    <row r="120" spans="1:48" s="292" customFormat="1" ht="20.25" hidden="1">
      <c r="A120" s="301"/>
      <c r="B120" s="301"/>
      <c r="C120" s="301"/>
      <c r="D120" s="302"/>
      <c r="E120" s="301"/>
      <c r="F120" s="303"/>
      <c r="G120" s="303"/>
      <c r="H120" s="303"/>
      <c r="I120" s="303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3"/>
      <c r="V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479"/>
      <c r="AK120" s="303"/>
      <c r="AL120" s="301"/>
      <c r="AM120" s="303"/>
      <c r="AN120" s="305"/>
      <c r="AO120" s="306"/>
      <c r="AP120" s="307"/>
      <c r="AQ120" s="302"/>
      <c r="AR120" s="308"/>
      <c r="AS120" s="308"/>
      <c r="AT120" s="302"/>
      <c r="AU120" s="302"/>
      <c r="AV120" s="302"/>
    </row>
    <row r="121" spans="1:48" s="292" customFormat="1" ht="20.25" hidden="1">
      <c r="A121" s="301"/>
      <c r="B121" s="301"/>
      <c r="C121" s="301"/>
      <c r="D121" s="302"/>
      <c r="E121" s="301"/>
      <c r="F121" s="303"/>
      <c r="G121" s="303"/>
      <c r="H121" s="303"/>
      <c r="I121" s="303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3"/>
      <c r="V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479"/>
      <c r="AK121" s="303"/>
      <c r="AL121" s="301"/>
      <c r="AM121" s="303"/>
      <c r="AN121" s="305"/>
      <c r="AO121" s="306"/>
      <c r="AP121" s="307"/>
      <c r="AQ121" s="302"/>
      <c r="AR121" s="308"/>
      <c r="AS121" s="308"/>
      <c r="AT121" s="302"/>
      <c r="AU121" s="302"/>
      <c r="AV121" s="302"/>
    </row>
    <row r="122" spans="1:48" s="292" customFormat="1" ht="15" hidden="1" customHeight="1">
      <c r="A122" s="309"/>
      <c r="B122" s="309"/>
      <c r="C122" s="309"/>
      <c r="D122" s="302"/>
      <c r="E122" s="309"/>
      <c r="F122" s="310"/>
      <c r="G122" s="310"/>
      <c r="H122" s="308"/>
      <c r="I122" s="308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8"/>
      <c r="V122" s="311"/>
      <c r="AA122" s="311"/>
      <c r="AJ122" s="480"/>
      <c r="AK122" s="312"/>
      <c r="AL122" s="309"/>
      <c r="AM122" s="313"/>
      <c r="AN122" s="305"/>
      <c r="AO122" s="306"/>
      <c r="AP122" s="307"/>
      <c r="AQ122" s="302"/>
      <c r="AR122" s="308"/>
      <c r="AS122" s="308"/>
      <c r="AT122" s="302"/>
      <c r="AU122" s="302"/>
      <c r="AV122" s="302"/>
    </row>
    <row r="123" spans="1:48" s="292" customFormat="1" ht="18" hidden="1" customHeight="1">
      <c r="A123" s="314" t="s">
        <v>12</v>
      </c>
      <c r="B123" s="314"/>
      <c r="C123" s="314"/>
      <c r="D123" s="315"/>
      <c r="E123" s="314"/>
      <c r="F123" s="316" t="s">
        <v>206</v>
      </c>
      <c r="G123" s="316"/>
      <c r="H123" s="736" t="s">
        <v>209</v>
      </c>
      <c r="I123" s="736"/>
      <c r="J123" s="736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8"/>
      <c r="V123" s="319"/>
      <c r="X123" s="303"/>
      <c r="Y123" s="316"/>
      <c r="Z123" s="316"/>
      <c r="AA123" s="320" t="s">
        <v>209</v>
      </c>
      <c r="AB123" s="316"/>
      <c r="AC123" s="316"/>
      <c r="AD123" s="316"/>
      <c r="AE123" s="316"/>
      <c r="AF123" s="316"/>
      <c r="AG123" s="316"/>
      <c r="AH123" s="316"/>
      <c r="AI123" s="316"/>
      <c r="AJ123" s="481"/>
      <c r="AK123" s="316"/>
      <c r="AL123" s="314"/>
      <c r="AM123" s="316"/>
      <c r="AN123" s="314"/>
      <c r="AO123" s="321"/>
      <c r="AP123" s="307"/>
      <c r="AQ123" s="302"/>
      <c r="AR123" s="308"/>
      <c r="AS123" s="308"/>
      <c r="AT123" s="302"/>
      <c r="AU123" s="302"/>
      <c r="AV123" s="302"/>
    </row>
    <row r="124" spans="1:48" s="62" customFormat="1" ht="18.75" hidden="1">
      <c r="A124" s="11"/>
      <c r="B124" s="11"/>
      <c r="C124" s="11"/>
      <c r="D124" s="255"/>
      <c r="E124" s="11"/>
      <c r="F124" s="322"/>
      <c r="G124" s="322"/>
      <c r="H124" s="322"/>
      <c r="I124" s="322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482"/>
      <c r="AK124" s="322"/>
      <c r="AL124" s="324"/>
      <c r="AM124" s="322"/>
      <c r="AN124" s="281"/>
      <c r="AO124" s="325"/>
      <c r="AP124" s="326"/>
      <c r="AQ124" s="668"/>
      <c r="AR124" s="255"/>
      <c r="AS124" s="255"/>
      <c r="AT124" s="668"/>
      <c r="AU124" s="668"/>
      <c r="AV124" s="668"/>
    </row>
    <row r="125" spans="1:48" s="103" customFormat="1" ht="57.75" hidden="1" customHeight="1">
      <c r="A125" s="11"/>
      <c r="B125" s="11"/>
      <c r="C125" s="11"/>
      <c r="D125" s="255"/>
      <c r="E125" s="720" t="s">
        <v>207</v>
      </c>
      <c r="F125" s="720"/>
      <c r="G125" s="327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9"/>
      <c r="W125" s="329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483"/>
      <c r="AK125" s="11"/>
      <c r="AL125" s="281"/>
      <c r="AM125" s="11"/>
      <c r="AN125" s="281"/>
      <c r="AP125" s="326"/>
      <c r="AQ125" s="668"/>
      <c r="AR125" s="255"/>
      <c r="AS125" s="255"/>
      <c r="AT125" s="668"/>
      <c r="AU125" s="668"/>
      <c r="AV125" s="668"/>
    </row>
  </sheetData>
  <mergeCells count="40">
    <mergeCell ref="AQ14:AS15"/>
    <mergeCell ref="AT14:AV14"/>
    <mergeCell ref="O15:P15"/>
    <mergeCell ref="Q15:R15"/>
    <mergeCell ref="S15:T15"/>
    <mergeCell ref="AD15:AE15"/>
    <mergeCell ref="AF15:AG15"/>
    <mergeCell ref="AH15:AI15"/>
    <mergeCell ref="AT15:AU15"/>
    <mergeCell ref="AB14:AC15"/>
    <mergeCell ref="AD14:AI14"/>
    <mergeCell ref="AJ14:AK15"/>
    <mergeCell ref="AL14:AM15"/>
    <mergeCell ref="X14:Y15"/>
    <mergeCell ref="Z14:AA15"/>
    <mergeCell ref="D116:F116"/>
    <mergeCell ref="H123:J123"/>
    <mergeCell ref="E125:F12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AN14:AO15"/>
    <mergeCell ref="AP14:AP15"/>
    <mergeCell ref="M14:N15"/>
    <mergeCell ref="O14:T14"/>
    <mergeCell ref="U14:U16"/>
    <mergeCell ref="V14:W15"/>
    <mergeCell ref="D11:AV11"/>
    <mergeCell ref="E6:AT6"/>
    <mergeCell ref="D7:AV7"/>
    <mergeCell ref="D8:AV8"/>
    <mergeCell ref="D9:AV9"/>
    <mergeCell ref="D10:AV10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125"/>
  <sheetViews>
    <sheetView tabSelected="1" view="pageBreakPreview" topLeftCell="C86" zoomScale="70" zoomScaleSheetLayoutView="70" workbookViewId="0">
      <selection activeCell="AY115" sqref="AY115"/>
    </sheetView>
  </sheetViews>
  <sheetFormatPr defaultRowHeight="15.75"/>
  <cols>
    <col min="1" max="2" width="0" hidden="1" customWidth="1"/>
    <col min="3" max="3" width="7" style="62" customWidth="1"/>
    <col min="4" max="4" width="6.28515625" style="255" customWidth="1"/>
    <col min="5" max="5" width="22.5703125" hidden="1" customWidth="1"/>
    <col min="6" max="6" width="51.85546875" style="8" customWidth="1"/>
    <col min="7" max="7" width="32.85546875" style="224" customWidth="1"/>
    <col min="8" max="8" width="8.42578125" style="198" hidden="1" customWidth="1"/>
    <col min="9" max="9" width="9.5703125" style="198" hidden="1" customWidth="1"/>
    <col min="10" max="10" width="12.140625" style="244" hidden="1" customWidth="1"/>
    <col min="11" max="11" width="10.5703125" style="244" hidden="1" customWidth="1"/>
    <col min="12" max="12" width="11.85546875" style="244" hidden="1" customWidth="1"/>
    <col min="13" max="13" width="11" style="244" hidden="1" customWidth="1"/>
    <col min="14" max="14" width="14.5703125" style="244" hidden="1" customWidth="1"/>
    <col min="15" max="15" width="10.85546875" style="244" hidden="1" customWidth="1"/>
    <col min="16" max="16" width="16.85546875" style="244" hidden="1" customWidth="1"/>
    <col min="17" max="17" width="11.140625" style="244" hidden="1" customWidth="1"/>
    <col min="18" max="18" width="16" style="244" hidden="1" customWidth="1"/>
    <col min="19" max="19" width="9.85546875" style="244" hidden="1" customWidth="1"/>
    <col min="20" max="20" width="14.140625" style="244" hidden="1" customWidth="1"/>
    <col min="21" max="21" width="14.28515625" style="204" customWidth="1"/>
    <col min="22" max="23" width="11.7109375" style="107" hidden="1" customWidth="1"/>
    <col min="24" max="24" width="8.28515625" style="139" hidden="1" customWidth="1"/>
    <col min="25" max="25" width="14.140625" style="139" hidden="1" customWidth="1"/>
    <col min="26" max="26" width="10" style="139" hidden="1" customWidth="1"/>
    <col min="27" max="27" width="15.7109375" style="139" hidden="1" customWidth="1"/>
    <col min="28" max="28" width="9.42578125" hidden="1" customWidth="1"/>
    <col min="29" max="29" width="13.42578125" hidden="1" customWidth="1"/>
    <col min="30" max="30" width="10.140625" style="134" hidden="1" customWidth="1"/>
    <col min="31" max="31" width="15.5703125" style="134" hidden="1" customWidth="1"/>
    <col min="32" max="32" width="10" style="134" hidden="1" customWidth="1"/>
    <col min="33" max="33" width="11.85546875" style="134" hidden="1" customWidth="1"/>
    <col min="34" max="34" width="10.7109375" style="134" hidden="1" customWidth="1"/>
    <col min="35" max="35" width="11.85546875" style="134" hidden="1" customWidth="1"/>
    <col min="36" max="36" width="15.42578125" style="484" customWidth="1"/>
    <col min="37" max="37" width="14.140625" hidden="1" customWidth="1"/>
    <col min="38" max="38" width="8.85546875" style="273" hidden="1" customWidth="1"/>
    <col min="39" max="39" width="15" style="211" hidden="1" customWidth="1"/>
    <col min="40" max="40" width="8.85546875" style="271" hidden="1" customWidth="1"/>
    <col min="41" max="41" width="15.140625" style="215" hidden="1" customWidth="1"/>
    <col min="42" max="42" width="12.42578125" style="231" hidden="1" customWidth="1"/>
    <col min="43" max="43" width="8.7109375" style="274" hidden="1" customWidth="1"/>
    <col min="44" max="44" width="11.5703125" style="225" hidden="1" customWidth="1"/>
    <col min="45" max="45" width="14.5703125" style="225" hidden="1" customWidth="1"/>
    <col min="46" max="46" width="16.85546875" style="260" customWidth="1"/>
    <col min="47" max="47" width="15" style="260" hidden="1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474"/>
      <c r="AK1" s="256"/>
      <c r="AL1" s="259"/>
      <c r="AM1" s="256"/>
      <c r="AN1" s="259"/>
      <c r="AO1" s="256"/>
      <c r="AP1" s="326"/>
      <c r="AQ1" s="674"/>
      <c r="AR1" s="255"/>
      <c r="AS1" s="255"/>
      <c r="AT1" s="674"/>
      <c r="AU1" s="674"/>
      <c r="AV1" s="674"/>
    </row>
    <row r="2" spans="1:48" s="252" customFormat="1" hidden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475" t="s">
        <v>0</v>
      </c>
      <c r="AL2" s="258"/>
      <c r="AN2" s="258"/>
      <c r="AP2" s="258"/>
      <c r="AQ2" s="258"/>
      <c r="AT2" s="259"/>
      <c r="AU2" s="259"/>
      <c r="AV2" s="259"/>
    </row>
    <row r="3" spans="1:48" s="252" customFormat="1" ht="12.75" hidden="1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474" t="s">
        <v>21</v>
      </c>
      <c r="AL3" s="258"/>
      <c r="AN3" s="258"/>
      <c r="AP3" s="258"/>
      <c r="AQ3" s="258"/>
      <c r="AT3" s="259"/>
      <c r="AU3" s="259"/>
      <c r="AV3" s="259"/>
    </row>
    <row r="4" spans="1:48" s="252" customFormat="1" ht="12.75" hidden="1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474" t="s">
        <v>1</v>
      </c>
      <c r="AL4" s="258"/>
      <c r="AN4" s="258"/>
      <c r="AP4" s="258"/>
      <c r="AQ4" s="258"/>
      <c r="AT4" s="259"/>
      <c r="AU4" s="259"/>
      <c r="AV4" s="259"/>
    </row>
    <row r="5" spans="1:48" s="252" customFormat="1" ht="12.75" hidden="1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474" t="s">
        <v>33</v>
      </c>
      <c r="AL5" s="258"/>
      <c r="AN5" s="258"/>
      <c r="AP5" s="258"/>
      <c r="AQ5" s="258"/>
      <c r="AT5" s="259"/>
      <c r="AU5" s="259"/>
      <c r="AV5" s="259"/>
    </row>
    <row r="6" spans="1:48" s="256" customFormat="1" ht="22.5" hidden="1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674"/>
      <c r="D7" s="741" t="s">
        <v>213</v>
      </c>
      <c r="E7" s="741"/>
      <c r="F7" s="741"/>
      <c r="G7" s="741"/>
      <c r="H7" s="741"/>
      <c r="I7" s="741"/>
      <c r="J7" s="741"/>
      <c r="K7" s="741"/>
      <c r="L7" s="741"/>
      <c r="M7" s="741"/>
      <c r="N7" s="741"/>
      <c r="O7" s="741"/>
      <c r="P7" s="741"/>
      <c r="Q7" s="741"/>
      <c r="R7" s="741"/>
      <c r="S7" s="741"/>
      <c r="T7" s="741"/>
      <c r="U7" s="741"/>
      <c r="V7" s="741"/>
      <c r="W7" s="741"/>
      <c r="X7" s="741"/>
      <c r="Y7" s="741"/>
      <c r="Z7" s="741"/>
      <c r="AA7" s="741"/>
      <c r="AB7" s="741"/>
      <c r="AC7" s="741"/>
      <c r="AD7" s="741"/>
      <c r="AE7" s="741"/>
      <c r="AF7" s="741"/>
      <c r="AG7" s="741"/>
      <c r="AH7" s="741"/>
      <c r="AI7" s="741"/>
      <c r="AJ7" s="741"/>
      <c r="AK7" s="741"/>
      <c r="AL7" s="741"/>
      <c r="AM7" s="741"/>
      <c r="AN7" s="741"/>
      <c r="AO7" s="741"/>
      <c r="AP7" s="741"/>
      <c r="AQ7" s="741"/>
      <c r="AR7" s="741"/>
      <c r="AS7" s="741"/>
      <c r="AT7" s="741"/>
      <c r="AU7" s="741"/>
      <c r="AV7" s="741"/>
    </row>
    <row r="8" spans="1:48" s="256" customFormat="1" ht="36" customHeight="1">
      <c r="B8" s="255"/>
      <c r="C8" s="674"/>
      <c r="D8" s="742" t="s">
        <v>214</v>
      </c>
      <c r="E8" s="741"/>
      <c r="F8" s="741"/>
      <c r="G8" s="741"/>
      <c r="H8" s="741"/>
      <c r="I8" s="741"/>
      <c r="J8" s="741"/>
      <c r="K8" s="741"/>
      <c r="L8" s="741"/>
      <c r="M8" s="741"/>
      <c r="N8" s="741"/>
      <c r="O8" s="741"/>
      <c r="P8" s="741"/>
      <c r="Q8" s="741"/>
      <c r="R8" s="741"/>
      <c r="S8" s="741"/>
      <c r="T8" s="741"/>
      <c r="U8" s="741"/>
      <c r="V8" s="741"/>
      <c r="W8" s="741"/>
      <c r="X8" s="741"/>
      <c r="Y8" s="741"/>
      <c r="Z8" s="741"/>
      <c r="AA8" s="741"/>
      <c r="AB8" s="741"/>
      <c r="AC8" s="741"/>
      <c r="AD8" s="741"/>
      <c r="AE8" s="741"/>
      <c r="AF8" s="741"/>
      <c r="AG8" s="741"/>
      <c r="AH8" s="741"/>
      <c r="AI8" s="741"/>
      <c r="AJ8" s="741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</row>
    <row r="9" spans="1:48" s="256" customFormat="1" ht="36" customHeight="1">
      <c r="B9" s="341"/>
      <c r="C9" s="365"/>
      <c r="D9" s="743" t="s">
        <v>215</v>
      </c>
      <c r="E9" s="744"/>
      <c r="F9" s="744"/>
      <c r="G9" s="744"/>
      <c r="H9" s="744"/>
      <c r="I9" s="744"/>
      <c r="J9" s="744"/>
      <c r="K9" s="744"/>
      <c r="L9" s="744"/>
      <c r="M9" s="744"/>
      <c r="N9" s="744"/>
      <c r="O9" s="744"/>
      <c r="P9" s="744"/>
      <c r="Q9" s="744"/>
      <c r="R9" s="744"/>
      <c r="S9" s="744"/>
      <c r="T9" s="744"/>
      <c r="U9" s="744"/>
      <c r="V9" s="744"/>
      <c r="W9" s="744"/>
      <c r="X9" s="744"/>
      <c r="Y9" s="744"/>
      <c r="Z9" s="744"/>
      <c r="AA9" s="744"/>
      <c r="AB9" s="744"/>
      <c r="AC9" s="744"/>
      <c r="AD9" s="744"/>
      <c r="AE9" s="744"/>
      <c r="AF9" s="744"/>
      <c r="AG9" s="744"/>
      <c r="AH9" s="744"/>
      <c r="AI9" s="744"/>
      <c r="AJ9" s="744"/>
      <c r="AK9" s="744"/>
      <c r="AL9" s="744"/>
      <c r="AM9" s="744"/>
      <c r="AN9" s="744"/>
      <c r="AO9" s="744"/>
      <c r="AP9" s="744"/>
      <c r="AQ9" s="744"/>
      <c r="AR9" s="744"/>
      <c r="AS9" s="744"/>
      <c r="AT9" s="744"/>
      <c r="AU9" s="744"/>
      <c r="AV9" s="744"/>
    </row>
    <row r="10" spans="1:48" s="256" customFormat="1">
      <c r="B10" s="341"/>
      <c r="C10" s="366"/>
      <c r="D10" s="745" t="s">
        <v>376</v>
      </c>
      <c r="E10" s="745"/>
      <c r="F10" s="745"/>
      <c r="G10" s="745"/>
      <c r="H10" s="745"/>
      <c r="I10" s="745"/>
      <c r="J10" s="745"/>
      <c r="K10" s="745"/>
      <c r="L10" s="745"/>
      <c r="M10" s="745"/>
      <c r="N10" s="745"/>
      <c r="O10" s="745"/>
      <c r="P10" s="745"/>
      <c r="Q10" s="745"/>
      <c r="R10" s="745"/>
      <c r="S10" s="745"/>
      <c r="T10" s="745"/>
      <c r="U10" s="745"/>
      <c r="V10" s="745"/>
      <c r="W10" s="745"/>
      <c r="X10" s="745"/>
      <c r="Y10" s="745"/>
      <c r="Z10" s="745"/>
      <c r="AA10" s="745"/>
      <c r="AB10" s="745"/>
      <c r="AC10" s="745"/>
      <c r="AD10" s="745"/>
      <c r="AE10" s="745"/>
      <c r="AF10" s="745"/>
      <c r="AG10" s="745"/>
      <c r="AH10" s="745"/>
      <c r="AI10" s="745"/>
      <c r="AJ10" s="745"/>
      <c r="AK10" s="745"/>
      <c r="AL10" s="745"/>
      <c r="AM10" s="745"/>
      <c r="AN10" s="745"/>
      <c r="AO10" s="745"/>
      <c r="AP10" s="745"/>
      <c r="AQ10" s="745"/>
      <c r="AR10" s="745"/>
      <c r="AS10" s="745"/>
      <c r="AT10" s="745"/>
      <c r="AU10" s="745"/>
      <c r="AV10" s="745"/>
    </row>
    <row r="11" spans="1:48" s="257" customFormat="1">
      <c r="B11" s="342"/>
      <c r="C11" s="367"/>
      <c r="D11" s="745" t="s">
        <v>191</v>
      </c>
      <c r="E11" s="745"/>
      <c r="F11" s="745"/>
      <c r="G11" s="745"/>
      <c r="H11" s="745"/>
      <c r="I11" s="745"/>
      <c r="J11" s="745"/>
      <c r="K11" s="745"/>
      <c r="L11" s="745"/>
      <c r="M11" s="745"/>
      <c r="N11" s="745"/>
      <c r="O11" s="745"/>
      <c r="P11" s="745"/>
      <c r="Q11" s="745"/>
      <c r="R11" s="745"/>
      <c r="S11" s="745"/>
      <c r="T11" s="745"/>
      <c r="U11" s="745"/>
      <c r="V11" s="745"/>
      <c r="W11" s="745"/>
      <c r="X11" s="745"/>
      <c r="Y11" s="745"/>
      <c r="Z11" s="745"/>
      <c r="AA11" s="745"/>
      <c r="AB11" s="745"/>
      <c r="AC11" s="745"/>
      <c r="AD11" s="745"/>
      <c r="AE11" s="745"/>
      <c r="AF11" s="745"/>
      <c r="AG11" s="745"/>
      <c r="AH11" s="745"/>
      <c r="AI11" s="745"/>
      <c r="AJ11" s="745"/>
      <c r="AK11" s="745"/>
      <c r="AL11" s="745"/>
      <c r="AM11" s="745"/>
      <c r="AN11" s="745"/>
      <c r="AO11" s="745"/>
      <c r="AP11" s="745"/>
      <c r="AQ11" s="745"/>
      <c r="AR11" s="745"/>
      <c r="AS11" s="745"/>
      <c r="AT11" s="745"/>
      <c r="AU11" s="745"/>
      <c r="AV11" s="745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476"/>
      <c r="AK12" s="347"/>
      <c r="AL12" s="350"/>
      <c r="AM12" s="338"/>
      <c r="AN12" s="350"/>
      <c r="AO12" s="256"/>
      <c r="AP12" s="326"/>
      <c r="AQ12" s="674"/>
      <c r="AR12" s="255"/>
      <c r="AS12" s="255"/>
      <c r="AT12" s="675"/>
      <c r="AU12" s="675"/>
      <c r="AV12" s="675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477"/>
      <c r="AK13" s="354"/>
      <c r="AL13" s="355"/>
      <c r="AM13" s="354"/>
      <c r="AN13" s="739"/>
      <c r="AO13" s="739"/>
      <c r="AP13" s="739"/>
      <c r="AQ13" s="739"/>
      <c r="AR13" s="739"/>
      <c r="AS13" s="739"/>
      <c r="AT13" s="740"/>
      <c r="AU13" s="740"/>
      <c r="AV13" s="740"/>
    </row>
    <row r="14" spans="1:48" s="94" customFormat="1" ht="87" customHeight="1">
      <c r="A14" s="92" t="s">
        <v>3</v>
      </c>
      <c r="B14" s="93"/>
      <c r="C14" s="466"/>
      <c r="D14" s="746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275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377</v>
      </c>
      <c r="AU14" s="681"/>
      <c r="AV14" s="681"/>
    </row>
    <row r="15" spans="1:48" s="94" customFormat="1" ht="40.5" customHeight="1">
      <c r="A15" s="92"/>
      <c r="B15" s="95"/>
      <c r="C15" s="467"/>
      <c r="D15" s="747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41.25" customHeight="1">
      <c r="A16" s="98">
        <v>1</v>
      </c>
      <c r="B16" s="98"/>
      <c r="C16" s="675"/>
      <c r="D16" s="748"/>
      <c r="E16" s="685"/>
      <c r="F16" s="685"/>
      <c r="G16" s="202"/>
      <c r="H16" s="201"/>
      <c r="I16" s="201"/>
      <c r="J16" s="241"/>
      <c r="K16" s="241"/>
      <c r="L16" s="241"/>
      <c r="M16" s="673" t="s">
        <v>77</v>
      </c>
      <c r="N16" s="673" t="s">
        <v>78</v>
      </c>
      <c r="O16" s="673" t="s">
        <v>77</v>
      </c>
      <c r="P16" s="673" t="s">
        <v>78</v>
      </c>
      <c r="Q16" s="673" t="s">
        <v>77</v>
      </c>
      <c r="R16" s="673" t="s">
        <v>78</v>
      </c>
      <c r="S16" s="673" t="s">
        <v>77</v>
      </c>
      <c r="T16" s="673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672" t="s">
        <v>77</v>
      </c>
      <c r="AE16" s="672" t="s">
        <v>78</v>
      </c>
      <c r="AF16" s="205" t="s">
        <v>77</v>
      </c>
      <c r="AG16" s="205" t="s">
        <v>78</v>
      </c>
      <c r="AH16" s="672" t="s">
        <v>77</v>
      </c>
      <c r="AI16" s="672" t="s">
        <v>78</v>
      </c>
      <c r="AJ16" s="207" t="s">
        <v>96</v>
      </c>
      <c r="AK16" s="96" t="s">
        <v>19</v>
      </c>
      <c r="AL16" s="670" t="s">
        <v>96</v>
      </c>
      <c r="AM16" s="670" t="s">
        <v>19</v>
      </c>
      <c r="AN16" s="216" t="s">
        <v>96</v>
      </c>
      <c r="AO16" s="216" t="s">
        <v>19</v>
      </c>
      <c r="AP16" s="207" t="s">
        <v>96</v>
      </c>
      <c r="AQ16" s="670" t="s">
        <v>96</v>
      </c>
      <c r="AR16" s="670" t="s">
        <v>107</v>
      </c>
      <c r="AS16" s="670" t="s">
        <v>19</v>
      </c>
      <c r="AT16" s="671" t="s">
        <v>96</v>
      </c>
      <c r="AU16" s="671" t="s">
        <v>19</v>
      </c>
      <c r="AV16" s="387" t="s">
        <v>223</v>
      </c>
    </row>
    <row r="17" spans="1:49" s="62" customFormat="1" ht="22.5" hidden="1">
      <c r="A17" s="59" t="s">
        <v>10</v>
      </c>
      <c r="B17" s="60">
        <v>9</v>
      </c>
      <c r="C17" s="60"/>
      <c r="D17" s="22"/>
      <c r="E17" s="79" t="s">
        <v>23</v>
      </c>
      <c r="F17" s="51" t="s">
        <v>9</v>
      </c>
      <c r="G17" s="275" t="s">
        <v>127</v>
      </c>
      <c r="H17" s="115" t="s">
        <v>91</v>
      </c>
      <c r="I17" s="115" t="s">
        <v>91</v>
      </c>
      <c r="J17" s="115"/>
      <c r="K17" s="115"/>
      <c r="L17" s="276"/>
      <c r="M17" s="277">
        <f>J17*K17</f>
        <v>0</v>
      </c>
      <c r="N17" s="276">
        <f>L17*M17</f>
        <v>0</v>
      </c>
      <c r="O17" s="115"/>
      <c r="P17" s="276"/>
      <c r="Q17" s="115"/>
      <c r="R17" s="276"/>
      <c r="S17" s="115"/>
      <c r="T17" s="276"/>
      <c r="U17" s="278" t="s">
        <v>92</v>
      </c>
      <c r="V17" s="22">
        <v>907</v>
      </c>
      <c r="W17" s="76">
        <v>41974</v>
      </c>
      <c r="X17" s="22">
        <v>1962</v>
      </c>
      <c r="Y17" s="407">
        <v>41981</v>
      </c>
      <c r="Z17" s="22"/>
      <c r="AA17" s="22"/>
      <c r="AB17" s="35">
        <v>6</v>
      </c>
      <c r="AC17" s="170">
        <v>169.84</v>
      </c>
      <c r="AD17" s="208"/>
      <c r="AE17" s="170"/>
      <c r="AF17" s="208"/>
      <c r="AG17" s="170"/>
      <c r="AH17" s="208"/>
      <c r="AI17" s="170"/>
      <c r="AJ17" s="232"/>
      <c r="AK17" s="170">
        <f>AE17+AG17+AI17</f>
        <v>0</v>
      </c>
      <c r="AL17" s="270">
        <f>2+4</f>
        <v>6</v>
      </c>
      <c r="AM17" s="170">
        <v>107.75</v>
      </c>
      <c r="AN17" s="270">
        <v>0</v>
      </c>
      <c r="AO17" s="170">
        <v>129.16</v>
      </c>
      <c r="AP17" s="233"/>
      <c r="AQ17" s="233"/>
      <c r="AR17" s="170">
        <v>32.29</v>
      </c>
      <c r="AS17" s="170">
        <f>AQ17*AR17</f>
        <v>0</v>
      </c>
      <c r="AT17" s="233">
        <v>0</v>
      </c>
      <c r="AU17" s="386">
        <f>AT17*AR17</f>
        <v>0</v>
      </c>
      <c r="AV17" s="233">
        <f>AT17</f>
        <v>0</v>
      </c>
    </row>
    <row r="18" spans="1:49" s="62" customFormat="1" ht="24.75" hidden="1" customHeight="1">
      <c r="A18" s="59"/>
      <c r="B18" s="60"/>
      <c r="C18" s="60"/>
      <c r="D18" s="22"/>
      <c r="E18" s="79" t="s">
        <v>27</v>
      </c>
      <c r="F18" s="51" t="s">
        <v>31</v>
      </c>
      <c r="G18" s="275" t="s">
        <v>135</v>
      </c>
      <c r="H18" s="115" t="s">
        <v>91</v>
      </c>
      <c r="I18" s="115" t="s">
        <v>91</v>
      </c>
      <c r="J18" s="115"/>
      <c r="K18" s="115"/>
      <c r="L18" s="276"/>
      <c r="M18" s="277">
        <f t="shared" ref="M18:M82" si="0">J18*K18</f>
        <v>0</v>
      </c>
      <c r="N18" s="276">
        <f t="shared" ref="N18:N82" si="1">L18*M18</f>
        <v>0</v>
      </c>
      <c r="O18" s="115"/>
      <c r="P18" s="276"/>
      <c r="Q18" s="115"/>
      <c r="R18" s="276"/>
      <c r="S18" s="115"/>
      <c r="T18" s="276"/>
      <c r="U18" s="278"/>
      <c r="V18" s="22">
        <v>833</v>
      </c>
      <c r="W18" s="76">
        <v>42347</v>
      </c>
      <c r="X18" s="22">
        <v>65</v>
      </c>
      <c r="Y18" s="407">
        <v>42396</v>
      </c>
      <c r="Z18" s="22"/>
      <c r="AA18" s="22"/>
      <c r="AB18" s="35">
        <v>1</v>
      </c>
      <c r="AC18" s="170">
        <v>1026.1600000000001</v>
      </c>
      <c r="AD18" s="208"/>
      <c r="AE18" s="170"/>
      <c r="AF18" s="208"/>
      <c r="AG18" s="170"/>
      <c r="AH18" s="208"/>
      <c r="AI18" s="170"/>
      <c r="AJ18" s="233"/>
      <c r="AK18" s="170">
        <f>AE18+AG18+AI18</f>
        <v>0</v>
      </c>
      <c r="AL18" s="270"/>
      <c r="AM18" s="170"/>
      <c r="AN18" s="233">
        <v>1</v>
      </c>
      <c r="AO18" s="170">
        <f t="shared" ref="AO18:AO82" si="2">AC18+AK18-AM18</f>
        <v>1026.1600000000001</v>
      </c>
      <c r="AP18" s="233"/>
      <c r="AQ18" s="233"/>
      <c r="AR18" s="170">
        <v>1026.1600000000001</v>
      </c>
      <c r="AS18" s="170">
        <f t="shared" ref="AS18:AS111" si="3">AQ18*AR18</f>
        <v>0</v>
      </c>
      <c r="AT18" s="233">
        <f>AV18</f>
        <v>0</v>
      </c>
      <c r="AU18" s="386">
        <f t="shared" ref="AU18:AU111" si="4">AT18*AR18</f>
        <v>0</v>
      </c>
      <c r="AV18" s="233">
        <v>0</v>
      </c>
      <c r="AW18" s="517" t="s">
        <v>288</v>
      </c>
    </row>
    <row r="19" spans="1:49" s="62" customFormat="1" ht="24.75" hidden="1" customHeight="1">
      <c r="A19" s="59"/>
      <c r="B19" s="60"/>
      <c r="C19" s="60"/>
      <c r="D19" s="22"/>
      <c r="E19" s="100" t="s">
        <v>36</v>
      </c>
      <c r="F19" s="51" t="s">
        <v>31</v>
      </c>
      <c r="G19" s="275" t="s">
        <v>135</v>
      </c>
      <c r="H19" s="115" t="s">
        <v>91</v>
      </c>
      <c r="I19" s="115" t="s">
        <v>91</v>
      </c>
      <c r="J19" s="115"/>
      <c r="K19" s="115"/>
      <c r="L19" s="276"/>
      <c r="M19" s="277">
        <f t="shared" si="0"/>
        <v>0</v>
      </c>
      <c r="N19" s="276">
        <f t="shared" si="1"/>
        <v>0</v>
      </c>
      <c r="O19" s="115"/>
      <c r="P19" s="276"/>
      <c r="Q19" s="115"/>
      <c r="R19" s="276"/>
      <c r="S19" s="115"/>
      <c r="T19" s="276"/>
      <c r="U19" s="278"/>
      <c r="V19" s="22">
        <v>1034</v>
      </c>
      <c r="W19" s="76">
        <v>42647</v>
      </c>
      <c r="X19" s="22">
        <v>1232</v>
      </c>
      <c r="Y19" s="407">
        <v>42396</v>
      </c>
      <c r="Z19" s="22"/>
      <c r="AA19" s="22"/>
      <c r="AB19" s="35">
        <v>1</v>
      </c>
      <c r="AC19" s="170">
        <v>1026.1600000000001</v>
      </c>
      <c r="AD19" s="208"/>
      <c r="AE19" s="170"/>
      <c r="AF19" s="208"/>
      <c r="AG19" s="170"/>
      <c r="AH19" s="208"/>
      <c r="AI19" s="170"/>
      <c r="AJ19" s="233"/>
      <c r="AK19" s="170">
        <f t="shared" ref="AK19:AK111" si="5">AE19+AG19+AI19</f>
        <v>0</v>
      </c>
      <c r="AL19" s="270"/>
      <c r="AM19" s="170"/>
      <c r="AN19" s="270">
        <v>1</v>
      </c>
      <c r="AO19" s="170">
        <f t="shared" si="2"/>
        <v>1026.1600000000001</v>
      </c>
      <c r="AP19" s="233"/>
      <c r="AQ19" s="233"/>
      <c r="AR19" s="170">
        <v>1026.1600000000001</v>
      </c>
      <c r="AS19" s="170">
        <f t="shared" si="3"/>
        <v>0</v>
      </c>
      <c r="AT19" s="233">
        <f t="shared" ref="AT19:AT93" si="6">AV19</f>
        <v>0</v>
      </c>
      <c r="AU19" s="386">
        <f t="shared" si="4"/>
        <v>0</v>
      </c>
      <c r="AV19" s="233">
        <v>0</v>
      </c>
    </row>
    <row r="20" spans="1:49" s="62" customFormat="1" ht="26.25" customHeight="1">
      <c r="A20" s="59"/>
      <c r="B20" s="60"/>
      <c r="C20" s="137"/>
      <c r="D20" s="192"/>
      <c r="E20" s="79" t="s">
        <v>24</v>
      </c>
      <c r="F20" s="525" t="s">
        <v>66</v>
      </c>
      <c r="G20" s="222" t="s">
        <v>135</v>
      </c>
      <c r="H20" s="193" t="s">
        <v>91</v>
      </c>
      <c r="I20" s="193" t="s">
        <v>91</v>
      </c>
      <c r="J20" s="193">
        <v>4</v>
      </c>
      <c r="K20" s="193">
        <v>4</v>
      </c>
      <c r="L20" s="243">
        <v>2051.94</v>
      </c>
      <c r="M20" s="242">
        <f>J20*K20</f>
        <v>16</v>
      </c>
      <c r="N20" s="243">
        <f>L20*M20</f>
        <v>32831.040000000001</v>
      </c>
      <c r="O20" s="193">
        <v>4</v>
      </c>
      <c r="P20" s="243">
        <v>4104.6400000000003</v>
      </c>
      <c r="Q20" s="193"/>
      <c r="R20" s="243"/>
      <c r="S20" s="193"/>
      <c r="T20" s="243"/>
      <c r="U20" s="527">
        <v>1633600163</v>
      </c>
      <c r="V20" s="193">
        <v>260</v>
      </c>
      <c r="W20" s="532">
        <v>43145</v>
      </c>
      <c r="X20" s="193" t="s">
        <v>94</v>
      </c>
      <c r="Y20" s="200">
        <v>43164</v>
      </c>
      <c r="Z20" s="193"/>
      <c r="AA20" s="193"/>
      <c r="AB20" s="192">
        <v>0</v>
      </c>
      <c r="AC20" s="530">
        <v>0</v>
      </c>
      <c r="AD20" s="531">
        <v>2</v>
      </c>
      <c r="AE20" s="530">
        <f>2020.4+2020.4</f>
        <v>4040.8</v>
      </c>
      <c r="AF20" s="531"/>
      <c r="AG20" s="530"/>
      <c r="AH20" s="531"/>
      <c r="AI20" s="530"/>
      <c r="AJ20" s="247"/>
      <c r="AK20" s="170">
        <f>AE20+AG20+AI20</f>
        <v>4040.8</v>
      </c>
      <c r="AL20" s="272">
        <v>0</v>
      </c>
      <c r="AM20" s="212">
        <v>0</v>
      </c>
      <c r="AN20" s="269">
        <v>2</v>
      </c>
      <c r="AO20" s="217">
        <f>AC20+AK20-AM20</f>
        <v>4040.8</v>
      </c>
      <c r="AP20" s="232"/>
      <c r="AQ20" s="229"/>
      <c r="AR20" s="212">
        <v>2020.4</v>
      </c>
      <c r="AS20" s="212">
        <f>AQ20*AR20</f>
        <v>0</v>
      </c>
      <c r="AT20" s="247">
        <f t="shared" si="6"/>
        <v>2</v>
      </c>
      <c r="AU20" s="228">
        <f>AT20*AR20</f>
        <v>4040.8</v>
      </c>
      <c r="AV20" s="247">
        <v>2</v>
      </c>
    </row>
    <row r="21" spans="1:49" s="62" customFormat="1" ht="29.25" customHeight="1">
      <c r="A21" s="59"/>
      <c r="B21" s="60"/>
      <c r="C21" s="137"/>
      <c r="D21" s="192"/>
      <c r="E21" s="79" t="s">
        <v>24</v>
      </c>
      <c r="F21" s="526" t="s">
        <v>40</v>
      </c>
      <c r="G21" s="223" t="s">
        <v>135</v>
      </c>
      <c r="H21" s="193" t="s">
        <v>91</v>
      </c>
      <c r="I21" s="193" t="s">
        <v>91</v>
      </c>
      <c r="J21" s="193"/>
      <c r="K21" s="193"/>
      <c r="L21" s="243"/>
      <c r="M21" s="242">
        <f>J21*K21</f>
        <v>0</v>
      </c>
      <c r="N21" s="243">
        <f>L21*M21</f>
        <v>0</v>
      </c>
      <c r="O21" s="193"/>
      <c r="P21" s="243"/>
      <c r="Q21" s="193"/>
      <c r="R21" s="243"/>
      <c r="S21" s="193"/>
      <c r="T21" s="243"/>
      <c r="U21" s="527"/>
      <c r="V21" s="193">
        <v>977</v>
      </c>
      <c r="W21" s="532">
        <v>42976</v>
      </c>
      <c r="X21" s="193" t="s">
        <v>194</v>
      </c>
      <c r="Y21" s="200">
        <v>42984</v>
      </c>
      <c r="Z21" s="193" t="s">
        <v>211</v>
      </c>
      <c r="AA21" s="200">
        <v>42983</v>
      </c>
      <c r="AB21" s="529">
        <v>4</v>
      </c>
      <c r="AC21" s="530">
        <v>8081.6</v>
      </c>
      <c r="AD21" s="531"/>
      <c r="AE21" s="530"/>
      <c r="AF21" s="531"/>
      <c r="AG21" s="530"/>
      <c r="AH21" s="531"/>
      <c r="AI21" s="530"/>
      <c r="AJ21" s="247"/>
      <c r="AK21" s="170">
        <f>AE21+AG21+AI21</f>
        <v>0</v>
      </c>
      <c r="AL21" s="272"/>
      <c r="AM21" s="212"/>
      <c r="AN21" s="269">
        <v>4</v>
      </c>
      <c r="AO21" s="217">
        <f>AC21+AK21-AM21</f>
        <v>8081.6</v>
      </c>
      <c r="AP21" s="232"/>
      <c r="AQ21" s="229"/>
      <c r="AR21" s="212">
        <v>2020.4</v>
      </c>
      <c r="AS21" s="212">
        <f>AQ21*AR21</f>
        <v>0</v>
      </c>
      <c r="AT21" s="247">
        <f t="shared" si="6"/>
        <v>4</v>
      </c>
      <c r="AU21" s="228">
        <f>AT21*AR21</f>
        <v>8081.6</v>
      </c>
      <c r="AV21" s="247">
        <v>4</v>
      </c>
    </row>
    <row r="22" spans="1:49" s="62" customFormat="1" ht="24.75" hidden="1" customHeight="1">
      <c r="A22" s="59"/>
      <c r="B22" s="60"/>
      <c r="C22" s="60"/>
      <c r="D22" s="22"/>
      <c r="E22" s="79" t="s">
        <v>27</v>
      </c>
      <c r="F22" s="51" t="s">
        <v>29</v>
      </c>
      <c r="G22" s="275" t="s">
        <v>123</v>
      </c>
      <c r="H22" s="115" t="s">
        <v>91</v>
      </c>
      <c r="I22" s="115" t="s">
        <v>91</v>
      </c>
      <c r="J22" s="115"/>
      <c r="K22" s="115"/>
      <c r="L22" s="276"/>
      <c r="M22" s="277">
        <f t="shared" si="0"/>
        <v>0</v>
      </c>
      <c r="N22" s="276">
        <f t="shared" si="1"/>
        <v>0</v>
      </c>
      <c r="O22" s="115"/>
      <c r="P22" s="276"/>
      <c r="Q22" s="115"/>
      <c r="R22" s="276"/>
      <c r="S22" s="115"/>
      <c r="T22" s="276"/>
      <c r="U22" s="278" t="s">
        <v>193</v>
      </c>
      <c r="V22" s="22">
        <v>833</v>
      </c>
      <c r="W22" s="76">
        <v>42347</v>
      </c>
      <c r="X22" s="22">
        <v>65</v>
      </c>
      <c r="Y22" s="407">
        <v>42396</v>
      </c>
      <c r="Z22" s="22"/>
      <c r="AA22" s="22"/>
      <c r="AB22" s="35">
        <v>1</v>
      </c>
      <c r="AC22" s="170">
        <v>2094.4</v>
      </c>
      <c r="AD22" s="208"/>
      <c r="AE22" s="170"/>
      <c r="AF22" s="208"/>
      <c r="AG22" s="170"/>
      <c r="AH22" s="208"/>
      <c r="AI22" s="170"/>
      <c r="AJ22" s="233"/>
      <c r="AK22" s="170">
        <f t="shared" si="5"/>
        <v>0</v>
      </c>
      <c r="AL22" s="270"/>
      <c r="AM22" s="170"/>
      <c r="AN22" s="270">
        <v>1</v>
      </c>
      <c r="AO22" s="170">
        <f t="shared" si="2"/>
        <v>2094.4</v>
      </c>
      <c r="AP22" s="233"/>
      <c r="AQ22" s="233"/>
      <c r="AR22" s="170">
        <v>2094.4</v>
      </c>
      <c r="AS22" s="170">
        <f t="shared" si="3"/>
        <v>0</v>
      </c>
      <c r="AT22" s="233">
        <v>0</v>
      </c>
      <c r="AU22" s="386">
        <f t="shared" si="4"/>
        <v>0</v>
      </c>
      <c r="AV22" s="233">
        <v>0</v>
      </c>
    </row>
    <row r="23" spans="1:49" s="62" customFormat="1" ht="33.75" hidden="1">
      <c r="A23" s="59"/>
      <c r="B23" s="60"/>
      <c r="C23" s="60"/>
      <c r="D23" s="22"/>
      <c r="E23" s="100" t="s">
        <v>36</v>
      </c>
      <c r="F23" s="51" t="s">
        <v>29</v>
      </c>
      <c r="G23" s="275" t="s">
        <v>123</v>
      </c>
      <c r="H23" s="115" t="s">
        <v>91</v>
      </c>
      <c r="I23" s="115" t="s">
        <v>91</v>
      </c>
      <c r="J23" s="115"/>
      <c r="K23" s="115"/>
      <c r="L23" s="276"/>
      <c r="M23" s="277">
        <f t="shared" si="0"/>
        <v>0</v>
      </c>
      <c r="N23" s="276">
        <f t="shared" si="1"/>
        <v>0</v>
      </c>
      <c r="O23" s="115"/>
      <c r="P23" s="276"/>
      <c r="Q23" s="115"/>
      <c r="R23" s="276"/>
      <c r="S23" s="115"/>
      <c r="T23" s="276"/>
      <c r="U23" s="278"/>
      <c r="V23" s="22">
        <v>1034</v>
      </c>
      <c r="W23" s="76">
        <v>42647</v>
      </c>
      <c r="X23" s="22">
        <v>1232</v>
      </c>
      <c r="Y23" s="407">
        <v>42698</v>
      </c>
      <c r="Z23" s="22"/>
      <c r="AA23" s="22"/>
      <c r="AB23" s="35">
        <v>1</v>
      </c>
      <c r="AC23" s="170">
        <v>2094.4</v>
      </c>
      <c r="AD23" s="208"/>
      <c r="AE23" s="170"/>
      <c r="AF23" s="208"/>
      <c r="AG23" s="170"/>
      <c r="AH23" s="208"/>
      <c r="AI23" s="170"/>
      <c r="AJ23" s="233"/>
      <c r="AK23" s="170">
        <f t="shared" si="5"/>
        <v>0</v>
      </c>
      <c r="AL23" s="270"/>
      <c r="AM23" s="170"/>
      <c r="AN23" s="270">
        <v>1</v>
      </c>
      <c r="AO23" s="170">
        <f t="shared" si="2"/>
        <v>2094.4</v>
      </c>
      <c r="AP23" s="233"/>
      <c r="AQ23" s="233"/>
      <c r="AR23" s="170">
        <v>2094.4</v>
      </c>
      <c r="AS23" s="170">
        <f t="shared" si="3"/>
        <v>0</v>
      </c>
      <c r="AT23" s="233">
        <v>0</v>
      </c>
      <c r="AU23" s="386">
        <f t="shared" si="4"/>
        <v>0</v>
      </c>
      <c r="AV23" s="233">
        <v>0</v>
      </c>
    </row>
    <row r="24" spans="1:49" s="62" customFormat="1" ht="26.25" hidden="1" customHeight="1">
      <c r="A24" s="59"/>
      <c r="B24" s="60"/>
      <c r="C24" s="60"/>
      <c r="D24" s="22"/>
      <c r="E24" s="79" t="s">
        <v>24</v>
      </c>
      <c r="F24" s="51" t="s">
        <v>58</v>
      </c>
      <c r="G24" s="275" t="s">
        <v>123</v>
      </c>
      <c r="H24" s="115" t="s">
        <v>91</v>
      </c>
      <c r="I24" s="115" t="s">
        <v>91</v>
      </c>
      <c r="J24" s="115">
        <v>5</v>
      </c>
      <c r="K24" s="115">
        <v>5</v>
      </c>
      <c r="L24" s="276">
        <v>2899.28</v>
      </c>
      <c r="M24" s="277">
        <f>J24*K24</f>
        <v>25</v>
      </c>
      <c r="N24" s="276">
        <f>L24*M24</f>
        <v>72482</v>
      </c>
      <c r="O24" s="115">
        <v>4</v>
      </c>
      <c r="P24" s="276">
        <v>8377.6</v>
      </c>
      <c r="Q24" s="115"/>
      <c r="R24" s="276"/>
      <c r="S24" s="115"/>
      <c r="T24" s="276"/>
      <c r="U24" s="278" t="s">
        <v>122</v>
      </c>
      <c r="V24" s="115">
        <v>1745</v>
      </c>
      <c r="W24" s="114">
        <v>43096</v>
      </c>
      <c r="X24" s="115" t="s">
        <v>117</v>
      </c>
      <c r="Y24" s="221">
        <v>43109</v>
      </c>
      <c r="Z24" s="115" t="s">
        <v>118</v>
      </c>
      <c r="AA24" s="221">
        <v>43133</v>
      </c>
      <c r="AB24" s="22">
        <v>0</v>
      </c>
      <c r="AC24" s="170">
        <v>0</v>
      </c>
      <c r="AD24" s="208">
        <v>4</v>
      </c>
      <c r="AE24" s="170">
        <v>9062.24</v>
      </c>
      <c r="AF24" s="208"/>
      <c r="AG24" s="170"/>
      <c r="AH24" s="208"/>
      <c r="AI24" s="170"/>
      <c r="AJ24" s="233"/>
      <c r="AK24" s="170">
        <f>AE24+AG24+AI24</f>
        <v>9062.24</v>
      </c>
      <c r="AL24" s="270">
        <v>0</v>
      </c>
      <c r="AM24" s="170">
        <v>0</v>
      </c>
      <c r="AN24" s="270">
        <v>4</v>
      </c>
      <c r="AO24" s="170">
        <f>AC24+AK24-AM24</f>
        <v>9062.24</v>
      </c>
      <c r="AP24" s="233"/>
      <c r="AQ24" s="233"/>
      <c r="AR24" s="170">
        <v>2265.56</v>
      </c>
      <c r="AS24" s="170">
        <f>AQ24*AR24</f>
        <v>0</v>
      </c>
      <c r="AT24" s="233">
        <f t="shared" si="6"/>
        <v>0</v>
      </c>
      <c r="AU24" s="386">
        <f>AT24*AR24</f>
        <v>0</v>
      </c>
      <c r="AV24" s="233">
        <v>0</v>
      </c>
      <c r="AW24" s="517" t="s">
        <v>286</v>
      </c>
    </row>
    <row r="25" spans="1:49" s="62" customFormat="1" ht="26.25" hidden="1" customHeight="1">
      <c r="A25" s="59"/>
      <c r="B25" s="60"/>
      <c r="C25" s="60"/>
      <c r="D25" s="22"/>
      <c r="E25" s="79" t="s">
        <v>24</v>
      </c>
      <c r="F25" s="51" t="s">
        <v>58</v>
      </c>
      <c r="G25" s="275" t="s">
        <v>123</v>
      </c>
      <c r="H25" s="115" t="s">
        <v>91</v>
      </c>
      <c r="I25" s="115" t="s">
        <v>91</v>
      </c>
      <c r="J25" s="115"/>
      <c r="K25" s="115"/>
      <c r="L25" s="276"/>
      <c r="M25" s="277">
        <f>J25*K25</f>
        <v>0</v>
      </c>
      <c r="N25" s="276">
        <f>L25*M25</f>
        <v>0</v>
      </c>
      <c r="O25" s="115"/>
      <c r="P25" s="276"/>
      <c r="Q25" s="115"/>
      <c r="R25" s="276"/>
      <c r="S25" s="115"/>
      <c r="T25" s="276"/>
      <c r="U25" s="278" t="s">
        <v>170</v>
      </c>
      <c r="V25" s="115">
        <v>834</v>
      </c>
      <c r="W25" s="114">
        <v>43222</v>
      </c>
      <c r="X25" s="115" t="s">
        <v>162</v>
      </c>
      <c r="Y25" s="221">
        <v>43242</v>
      </c>
      <c r="Z25" s="115"/>
      <c r="AA25" s="115"/>
      <c r="AB25" s="22">
        <v>0</v>
      </c>
      <c r="AC25" s="170">
        <v>0</v>
      </c>
      <c r="AD25" s="208">
        <v>2</v>
      </c>
      <c r="AE25" s="170">
        <v>4531.12</v>
      </c>
      <c r="AF25" s="208"/>
      <c r="AG25" s="170"/>
      <c r="AH25" s="208"/>
      <c r="AI25" s="170"/>
      <c r="AJ25" s="233"/>
      <c r="AK25" s="170">
        <f>AE25+AG25+AI25</f>
        <v>4531.12</v>
      </c>
      <c r="AL25" s="270">
        <v>0</v>
      </c>
      <c r="AM25" s="170">
        <v>0</v>
      </c>
      <c r="AN25" s="270">
        <v>2</v>
      </c>
      <c r="AO25" s="170">
        <f>AC25+AK25-AM25</f>
        <v>4531.12</v>
      </c>
      <c r="AP25" s="233"/>
      <c r="AQ25" s="233"/>
      <c r="AR25" s="170">
        <v>2265.56</v>
      </c>
      <c r="AS25" s="170">
        <f>AQ25*AR25</f>
        <v>0</v>
      </c>
      <c r="AT25" s="233">
        <v>0</v>
      </c>
      <c r="AU25" s="386">
        <f>AT25*AR25</f>
        <v>0</v>
      </c>
      <c r="AV25" s="233">
        <v>0</v>
      </c>
    </row>
    <row r="26" spans="1:49" s="62" customFormat="1" ht="25.5" hidden="1">
      <c r="A26" s="59"/>
      <c r="B26" s="60"/>
      <c r="C26" s="60"/>
      <c r="D26" s="22"/>
      <c r="E26" s="79" t="s">
        <v>27</v>
      </c>
      <c r="F26" s="155" t="s">
        <v>32</v>
      </c>
      <c r="G26" s="222" t="s">
        <v>129</v>
      </c>
      <c r="H26" s="193" t="s">
        <v>91</v>
      </c>
      <c r="I26" s="193" t="s">
        <v>91</v>
      </c>
      <c r="J26" s="193"/>
      <c r="K26" s="193"/>
      <c r="L26" s="243"/>
      <c r="M26" s="242">
        <f t="shared" si="0"/>
        <v>0</v>
      </c>
      <c r="N26" s="243">
        <f t="shared" si="1"/>
        <v>0</v>
      </c>
      <c r="O26" s="193"/>
      <c r="P26" s="243"/>
      <c r="Q26" s="193"/>
      <c r="R26" s="243"/>
      <c r="S26" s="193"/>
      <c r="T26" s="243"/>
      <c r="U26" s="203" t="s">
        <v>93</v>
      </c>
      <c r="V26" s="55">
        <v>833</v>
      </c>
      <c r="W26" s="54">
        <v>42347</v>
      </c>
      <c r="X26" s="192">
        <v>1</v>
      </c>
      <c r="Y26" s="199">
        <v>42430</v>
      </c>
      <c r="Z26" s="192"/>
      <c r="AA26" s="192"/>
      <c r="AB26" s="35">
        <v>6</v>
      </c>
      <c r="AC26" s="170">
        <v>4721.3999999999996</v>
      </c>
      <c r="AD26" s="209"/>
      <c r="AE26" s="194"/>
      <c r="AF26" s="209"/>
      <c r="AG26" s="194"/>
      <c r="AH26" s="209"/>
      <c r="AI26" s="194"/>
      <c r="AJ26" s="232"/>
      <c r="AK26" s="170">
        <f t="shared" si="5"/>
        <v>0</v>
      </c>
      <c r="AL26" s="272">
        <f>1</f>
        <v>1</v>
      </c>
      <c r="AM26" s="212">
        <f>786.9</f>
        <v>786.9</v>
      </c>
      <c r="AN26" s="269">
        <v>5</v>
      </c>
      <c r="AO26" s="217">
        <f>AN26*AR26</f>
        <v>3934.5</v>
      </c>
      <c r="AP26" s="232"/>
      <c r="AQ26" s="229"/>
      <c r="AR26" s="212">
        <v>786.9</v>
      </c>
      <c r="AS26" s="212">
        <f t="shared" si="3"/>
        <v>0</v>
      </c>
      <c r="AT26" s="247">
        <f t="shared" si="6"/>
        <v>0</v>
      </c>
      <c r="AU26" s="228">
        <f t="shared" si="4"/>
        <v>0</v>
      </c>
      <c r="AV26" s="279">
        <v>0</v>
      </c>
    </row>
    <row r="27" spans="1:49" s="62" customFormat="1" ht="26.25" customHeight="1">
      <c r="A27" s="59"/>
      <c r="B27" s="60"/>
      <c r="C27" s="60"/>
      <c r="D27" s="22"/>
      <c r="E27" s="79" t="s">
        <v>24</v>
      </c>
      <c r="F27" s="179" t="s">
        <v>62</v>
      </c>
      <c r="G27" s="222" t="s">
        <v>129</v>
      </c>
      <c r="H27" s="193" t="s">
        <v>91</v>
      </c>
      <c r="I27" s="193" t="s">
        <v>91</v>
      </c>
      <c r="J27" s="193">
        <v>24</v>
      </c>
      <c r="K27" s="193">
        <v>4</v>
      </c>
      <c r="L27" s="243">
        <v>984.1</v>
      </c>
      <c r="M27" s="242">
        <f>J27*K27</f>
        <v>96</v>
      </c>
      <c r="N27" s="243">
        <f>L27*M27</f>
        <v>94473.600000000006</v>
      </c>
      <c r="O27" s="193">
        <v>6</v>
      </c>
      <c r="P27" s="243">
        <v>4721.3999999999996</v>
      </c>
      <c r="Q27" s="193"/>
      <c r="R27" s="243"/>
      <c r="S27" s="193"/>
      <c r="T27" s="243"/>
      <c r="U27" s="203" t="s">
        <v>130</v>
      </c>
      <c r="V27" s="115">
        <v>135</v>
      </c>
      <c r="W27" s="114">
        <v>42761</v>
      </c>
      <c r="X27" s="193" t="s">
        <v>126</v>
      </c>
      <c r="Y27" s="200">
        <v>43130</v>
      </c>
      <c r="Z27" s="193"/>
      <c r="AA27" s="193"/>
      <c r="AB27" s="22">
        <v>0</v>
      </c>
      <c r="AC27" s="170">
        <v>0</v>
      </c>
      <c r="AD27" s="209">
        <v>6</v>
      </c>
      <c r="AE27" s="194">
        <v>4549.08</v>
      </c>
      <c r="AF27" s="209"/>
      <c r="AG27" s="194"/>
      <c r="AH27" s="209"/>
      <c r="AI27" s="194"/>
      <c r="AJ27" s="232"/>
      <c r="AK27" s="170">
        <f>AE27+AG27+AI27</f>
        <v>4549.08</v>
      </c>
      <c r="AL27" s="272">
        <v>0</v>
      </c>
      <c r="AM27" s="212">
        <v>0</v>
      </c>
      <c r="AN27" s="269">
        <v>6</v>
      </c>
      <c r="AO27" s="217">
        <f>AC27+AK27-AM27</f>
        <v>4549.08</v>
      </c>
      <c r="AP27" s="232"/>
      <c r="AQ27" s="229"/>
      <c r="AR27" s="212">
        <v>758.18</v>
      </c>
      <c r="AS27" s="212">
        <f>AQ27*AR27</f>
        <v>0</v>
      </c>
      <c r="AT27" s="247">
        <f t="shared" si="6"/>
        <v>1</v>
      </c>
      <c r="AU27" s="228">
        <f>AT27*AR27</f>
        <v>758.18</v>
      </c>
      <c r="AV27" s="279">
        <v>1</v>
      </c>
    </row>
    <row r="28" spans="1:49" s="62" customFormat="1" ht="26.25" customHeight="1">
      <c r="A28" s="59"/>
      <c r="B28" s="60"/>
      <c r="C28" s="60"/>
      <c r="D28" s="22"/>
      <c r="E28" s="79" t="s">
        <v>24</v>
      </c>
      <c r="F28" s="179" t="s">
        <v>62</v>
      </c>
      <c r="G28" s="222" t="s">
        <v>129</v>
      </c>
      <c r="H28" s="193" t="s">
        <v>91</v>
      </c>
      <c r="I28" s="193" t="s">
        <v>91</v>
      </c>
      <c r="J28" s="193"/>
      <c r="K28" s="193"/>
      <c r="L28" s="243"/>
      <c r="M28" s="242">
        <f>J28*K28</f>
        <v>0</v>
      </c>
      <c r="N28" s="243">
        <f>L28*M28</f>
        <v>0</v>
      </c>
      <c r="O28" s="193"/>
      <c r="P28" s="243"/>
      <c r="Q28" s="193"/>
      <c r="R28" s="243"/>
      <c r="S28" s="193"/>
      <c r="T28" s="243"/>
      <c r="U28" s="203" t="s">
        <v>172</v>
      </c>
      <c r="V28" s="115">
        <v>834</v>
      </c>
      <c r="W28" s="114">
        <v>43222</v>
      </c>
      <c r="X28" s="193" t="s">
        <v>162</v>
      </c>
      <c r="Y28" s="200">
        <v>43242</v>
      </c>
      <c r="Z28" s="193"/>
      <c r="AA28" s="193"/>
      <c r="AB28" s="22">
        <v>0</v>
      </c>
      <c r="AC28" s="170">
        <v>0</v>
      </c>
      <c r="AD28" s="209">
        <v>10</v>
      </c>
      <c r="AE28" s="194">
        <v>7581.8</v>
      </c>
      <c r="AF28" s="209"/>
      <c r="AG28" s="194"/>
      <c r="AH28" s="209"/>
      <c r="AI28" s="194"/>
      <c r="AJ28" s="232"/>
      <c r="AK28" s="170">
        <f>AE28+AG28+AI28</f>
        <v>7581.8</v>
      </c>
      <c r="AL28" s="272">
        <v>0</v>
      </c>
      <c r="AM28" s="212">
        <v>0</v>
      </c>
      <c r="AN28" s="269">
        <v>10</v>
      </c>
      <c r="AO28" s="217">
        <f>AC28+AK28-AM28</f>
        <v>7581.8</v>
      </c>
      <c r="AP28" s="232"/>
      <c r="AQ28" s="229"/>
      <c r="AR28" s="212">
        <v>758.18</v>
      </c>
      <c r="AS28" s="212">
        <f t="shared" ref="AS28" si="7">AQ28*AR28</f>
        <v>0</v>
      </c>
      <c r="AT28" s="247">
        <f t="shared" si="6"/>
        <v>10</v>
      </c>
      <c r="AU28" s="228">
        <f t="shared" ref="AU28" si="8">AT28*AR28</f>
        <v>7581.7999999999993</v>
      </c>
      <c r="AV28" s="279">
        <v>10</v>
      </c>
    </row>
    <row r="29" spans="1:49" s="62" customFormat="1" ht="26.25" customHeight="1">
      <c r="A29" s="59"/>
      <c r="B29" s="60"/>
      <c r="C29" s="60"/>
      <c r="D29" s="22"/>
      <c r="E29" s="79"/>
      <c r="F29" s="179" t="s">
        <v>62</v>
      </c>
      <c r="G29" s="222" t="s">
        <v>129</v>
      </c>
      <c r="H29" s="193"/>
      <c r="I29" s="193"/>
      <c r="J29" s="193"/>
      <c r="K29" s="193"/>
      <c r="L29" s="243"/>
      <c r="M29" s="242"/>
      <c r="N29" s="243"/>
      <c r="O29" s="193"/>
      <c r="P29" s="243"/>
      <c r="Q29" s="193"/>
      <c r="R29" s="243"/>
      <c r="S29" s="193"/>
      <c r="T29" s="243"/>
      <c r="U29" s="203"/>
      <c r="V29" s="115"/>
      <c r="W29" s="114"/>
      <c r="X29" s="193"/>
      <c r="Y29" s="200"/>
      <c r="Z29" s="193"/>
      <c r="AA29" s="193"/>
      <c r="AB29" s="22"/>
      <c r="AC29" s="170"/>
      <c r="AD29" s="209"/>
      <c r="AE29" s="194"/>
      <c r="AF29" s="209"/>
      <c r="AG29" s="194"/>
      <c r="AH29" s="209"/>
      <c r="AI29" s="194"/>
      <c r="AJ29" s="232"/>
      <c r="AK29" s="170"/>
      <c r="AL29" s="272"/>
      <c r="AM29" s="212"/>
      <c r="AN29" s="269"/>
      <c r="AO29" s="217"/>
      <c r="AP29" s="232"/>
      <c r="AQ29" s="229"/>
      <c r="AR29" s="212"/>
      <c r="AS29" s="212"/>
      <c r="AT29" s="247">
        <f t="shared" si="6"/>
        <v>4</v>
      </c>
      <c r="AU29" s="228"/>
      <c r="AV29" s="279">
        <v>4</v>
      </c>
    </row>
    <row r="30" spans="1:49" s="62" customFormat="1" ht="24.75" customHeight="1">
      <c r="A30" s="59"/>
      <c r="B30" s="60"/>
      <c r="C30" s="60"/>
      <c r="D30" s="22"/>
      <c r="E30" s="79" t="s">
        <v>24</v>
      </c>
      <c r="F30" s="51" t="s">
        <v>41</v>
      </c>
      <c r="G30" s="275" t="s">
        <v>166</v>
      </c>
      <c r="H30" s="115" t="s">
        <v>91</v>
      </c>
      <c r="I30" s="115" t="s">
        <v>91</v>
      </c>
      <c r="J30" s="115">
        <v>360</v>
      </c>
      <c r="K30" s="115">
        <v>2</v>
      </c>
      <c r="L30" s="276">
        <v>141.46</v>
      </c>
      <c r="M30" s="277">
        <f>J30*K30</f>
        <v>720</v>
      </c>
      <c r="N30" s="276">
        <f>L30*M30</f>
        <v>101851.20000000001</v>
      </c>
      <c r="O30" s="115">
        <v>180</v>
      </c>
      <c r="P30" s="276">
        <v>23198.400000000001</v>
      </c>
      <c r="Q30" s="115">
        <v>720</v>
      </c>
      <c r="R30" s="276">
        <v>128239.2</v>
      </c>
      <c r="S30" s="115">
        <v>420</v>
      </c>
      <c r="T30" s="276">
        <v>59413.2</v>
      </c>
      <c r="U30" s="278" t="s">
        <v>267</v>
      </c>
      <c r="V30" s="115">
        <v>834</v>
      </c>
      <c r="W30" s="114">
        <v>43222</v>
      </c>
      <c r="X30" s="115" t="s">
        <v>162</v>
      </c>
      <c r="Y30" s="221">
        <v>43242</v>
      </c>
      <c r="Z30" s="115"/>
      <c r="AA30" s="115"/>
      <c r="AB30" s="35">
        <v>0</v>
      </c>
      <c r="AC30" s="170">
        <v>0</v>
      </c>
      <c r="AD30" s="208">
        <v>40</v>
      </c>
      <c r="AE30" s="170">
        <v>5571.2</v>
      </c>
      <c r="AF30" s="208"/>
      <c r="AG30" s="170"/>
      <c r="AH30" s="208"/>
      <c r="AI30" s="170"/>
      <c r="AJ30" s="233">
        <v>2</v>
      </c>
      <c r="AK30" s="170">
        <f t="shared" si="5"/>
        <v>5571.2</v>
      </c>
      <c r="AL30" s="270">
        <v>0</v>
      </c>
      <c r="AM30" s="170">
        <v>0</v>
      </c>
      <c r="AN30" s="270">
        <v>40</v>
      </c>
      <c r="AO30" s="170">
        <f t="shared" si="2"/>
        <v>5571.2</v>
      </c>
      <c r="AP30" s="233"/>
      <c r="AQ30" s="233"/>
      <c r="AR30" s="170">
        <v>139.28</v>
      </c>
      <c r="AS30" s="170">
        <f t="shared" si="3"/>
        <v>0</v>
      </c>
      <c r="AT30" s="233">
        <f t="shared" si="6"/>
        <v>0</v>
      </c>
      <c r="AU30" s="386">
        <f t="shared" si="4"/>
        <v>0</v>
      </c>
      <c r="AV30" s="233">
        <v>0</v>
      </c>
    </row>
    <row r="31" spans="1:49" s="62" customFormat="1" ht="24.75" customHeight="1">
      <c r="A31" s="59"/>
      <c r="B31" s="60"/>
      <c r="C31" s="60"/>
      <c r="D31" s="22"/>
      <c r="E31" s="79"/>
      <c r="F31" s="51" t="s">
        <v>41</v>
      </c>
      <c r="G31" s="275" t="s">
        <v>166</v>
      </c>
      <c r="H31" s="115"/>
      <c r="I31" s="115"/>
      <c r="J31" s="115"/>
      <c r="K31" s="115"/>
      <c r="L31" s="276"/>
      <c r="M31" s="277"/>
      <c r="N31" s="276"/>
      <c r="O31" s="115"/>
      <c r="P31" s="276"/>
      <c r="Q31" s="115"/>
      <c r="R31" s="276"/>
      <c r="S31" s="115"/>
      <c r="T31" s="276"/>
      <c r="U31" s="278" t="s">
        <v>267</v>
      </c>
      <c r="V31" s="115"/>
      <c r="W31" s="114"/>
      <c r="X31" s="115"/>
      <c r="Y31" s="221"/>
      <c r="Z31" s="115"/>
      <c r="AA31" s="115"/>
      <c r="AB31" s="35"/>
      <c r="AC31" s="170"/>
      <c r="AD31" s="208"/>
      <c r="AE31" s="170"/>
      <c r="AF31" s="208"/>
      <c r="AG31" s="170"/>
      <c r="AH31" s="208"/>
      <c r="AI31" s="170"/>
      <c r="AJ31" s="233">
        <v>46</v>
      </c>
      <c r="AK31" s="170"/>
      <c r="AL31" s="270"/>
      <c r="AM31" s="170"/>
      <c r="AN31" s="270"/>
      <c r="AO31" s="170"/>
      <c r="AP31" s="233"/>
      <c r="AQ31" s="233"/>
      <c r="AR31" s="170"/>
      <c r="AS31" s="170"/>
      <c r="AT31" s="233">
        <f t="shared" si="6"/>
        <v>0</v>
      </c>
      <c r="AU31" s="386"/>
      <c r="AV31" s="233">
        <v>0</v>
      </c>
    </row>
    <row r="32" spans="1:49" s="62" customFormat="1" ht="24.75" customHeight="1">
      <c r="A32" s="59"/>
      <c r="B32" s="60"/>
      <c r="C32" s="60"/>
      <c r="D32" s="22"/>
      <c r="E32" s="79"/>
      <c r="F32" s="161" t="s">
        <v>41</v>
      </c>
      <c r="G32" s="222" t="s">
        <v>166</v>
      </c>
      <c r="H32" s="161" t="s">
        <v>41</v>
      </c>
      <c r="I32" s="222" t="s">
        <v>166</v>
      </c>
      <c r="J32" s="161" t="s">
        <v>41</v>
      </c>
      <c r="K32" s="222" t="s">
        <v>166</v>
      </c>
      <c r="L32" s="161" t="s">
        <v>41</v>
      </c>
      <c r="M32" s="222" t="s">
        <v>166</v>
      </c>
      <c r="N32" s="161" t="s">
        <v>41</v>
      </c>
      <c r="O32" s="222" t="s">
        <v>166</v>
      </c>
      <c r="P32" s="161" t="s">
        <v>41</v>
      </c>
      <c r="Q32" s="222" t="s">
        <v>166</v>
      </c>
      <c r="R32" s="161" t="s">
        <v>41</v>
      </c>
      <c r="S32" s="222" t="s">
        <v>166</v>
      </c>
      <c r="T32" s="161" t="s">
        <v>41</v>
      </c>
      <c r="U32" s="203" t="s">
        <v>306</v>
      </c>
      <c r="V32" s="115"/>
      <c r="W32" s="114"/>
      <c r="X32" s="193"/>
      <c r="Y32" s="200"/>
      <c r="Z32" s="193"/>
      <c r="AA32" s="193"/>
      <c r="AB32" s="35"/>
      <c r="AC32" s="170"/>
      <c r="AD32" s="209"/>
      <c r="AE32" s="194"/>
      <c r="AF32" s="209"/>
      <c r="AG32" s="194"/>
      <c r="AH32" s="209"/>
      <c r="AI32" s="194"/>
      <c r="AJ32" s="232">
        <v>482</v>
      </c>
      <c r="AK32" s="170"/>
      <c r="AL32" s="272"/>
      <c r="AM32" s="212"/>
      <c r="AN32" s="269"/>
      <c r="AO32" s="217"/>
      <c r="AP32" s="232"/>
      <c r="AQ32" s="229"/>
      <c r="AR32" s="212"/>
      <c r="AS32" s="212"/>
      <c r="AT32" s="247">
        <f t="shared" si="6"/>
        <v>416</v>
      </c>
      <c r="AU32" s="228"/>
      <c r="AV32" s="279">
        <v>416</v>
      </c>
    </row>
    <row r="33" spans="1:48" s="62" customFormat="1" ht="24.75" customHeight="1">
      <c r="A33" s="59"/>
      <c r="B33" s="60"/>
      <c r="C33" s="60"/>
      <c r="D33" s="22"/>
      <c r="E33" s="79"/>
      <c r="F33" s="51" t="s">
        <v>41</v>
      </c>
      <c r="G33" s="275" t="s">
        <v>166</v>
      </c>
      <c r="H33" s="51"/>
      <c r="I33" s="275"/>
      <c r="J33" s="51"/>
      <c r="K33" s="275"/>
      <c r="L33" s="51"/>
      <c r="M33" s="275"/>
      <c r="N33" s="51"/>
      <c r="O33" s="275"/>
      <c r="P33" s="51"/>
      <c r="Q33" s="275"/>
      <c r="R33" s="51"/>
      <c r="S33" s="275"/>
      <c r="T33" s="51"/>
      <c r="U33" s="278" t="s">
        <v>312</v>
      </c>
      <c r="V33" s="115"/>
      <c r="W33" s="114"/>
      <c r="X33" s="115"/>
      <c r="Y33" s="221"/>
      <c r="Z33" s="115"/>
      <c r="AA33" s="115"/>
      <c r="AB33" s="35"/>
      <c r="AC33" s="170"/>
      <c r="AD33" s="208"/>
      <c r="AE33" s="170"/>
      <c r="AF33" s="208"/>
      <c r="AG33" s="170"/>
      <c r="AH33" s="208"/>
      <c r="AI33" s="170"/>
      <c r="AJ33" s="233">
        <v>46</v>
      </c>
      <c r="AK33" s="170"/>
      <c r="AL33" s="270"/>
      <c r="AM33" s="170"/>
      <c r="AN33" s="270"/>
      <c r="AO33" s="170"/>
      <c r="AP33" s="233"/>
      <c r="AQ33" s="233"/>
      <c r="AR33" s="170"/>
      <c r="AS33" s="170"/>
      <c r="AT33" s="233">
        <f t="shared" si="6"/>
        <v>0</v>
      </c>
      <c r="AU33" s="386"/>
      <c r="AV33" s="233">
        <v>0</v>
      </c>
    </row>
    <row r="34" spans="1:48" s="62" customFormat="1" ht="24.75" customHeight="1">
      <c r="A34" s="59"/>
      <c r="B34" s="60"/>
      <c r="C34" s="60"/>
      <c r="D34" s="22"/>
      <c r="E34" s="79"/>
      <c r="F34" s="161" t="s">
        <v>41</v>
      </c>
      <c r="G34" s="222" t="s">
        <v>166</v>
      </c>
      <c r="H34" s="161"/>
      <c r="I34" s="222"/>
      <c r="J34" s="161"/>
      <c r="K34" s="222"/>
      <c r="L34" s="161"/>
      <c r="M34" s="222"/>
      <c r="N34" s="161"/>
      <c r="O34" s="222"/>
      <c r="P34" s="161"/>
      <c r="Q34" s="222"/>
      <c r="R34" s="161"/>
      <c r="S34" s="222"/>
      <c r="T34" s="161"/>
      <c r="U34" s="203" t="s">
        <v>315</v>
      </c>
      <c r="V34" s="115"/>
      <c r="W34" s="114"/>
      <c r="X34" s="193"/>
      <c r="Y34" s="200"/>
      <c r="Z34" s="193"/>
      <c r="AA34" s="193"/>
      <c r="AB34" s="35"/>
      <c r="AC34" s="170"/>
      <c r="AD34" s="209"/>
      <c r="AE34" s="194"/>
      <c r="AF34" s="209"/>
      <c r="AG34" s="194"/>
      <c r="AH34" s="209"/>
      <c r="AI34" s="194"/>
      <c r="AJ34" s="232">
        <v>148</v>
      </c>
      <c r="AK34" s="170"/>
      <c r="AL34" s="272"/>
      <c r="AM34" s="212"/>
      <c r="AN34" s="269"/>
      <c r="AO34" s="217"/>
      <c r="AP34" s="232"/>
      <c r="AQ34" s="229"/>
      <c r="AR34" s="212"/>
      <c r="AS34" s="212"/>
      <c r="AT34" s="247">
        <f t="shared" si="6"/>
        <v>0</v>
      </c>
      <c r="AU34" s="228"/>
      <c r="AV34" s="279">
        <v>0</v>
      </c>
    </row>
    <row r="35" spans="1:48" s="62" customFormat="1" ht="24.75" customHeight="1">
      <c r="A35" s="59"/>
      <c r="B35" s="60"/>
      <c r="C35" s="60"/>
      <c r="D35" s="22"/>
      <c r="E35" s="79"/>
      <c r="F35" s="161" t="s">
        <v>41</v>
      </c>
      <c r="G35" s="222" t="s">
        <v>166</v>
      </c>
      <c r="H35" s="161"/>
      <c r="I35" s="222"/>
      <c r="J35" s="161"/>
      <c r="K35" s="222"/>
      <c r="L35" s="161"/>
      <c r="M35" s="222"/>
      <c r="N35" s="161"/>
      <c r="O35" s="222"/>
      <c r="P35" s="161"/>
      <c r="Q35" s="222"/>
      <c r="R35" s="161"/>
      <c r="S35" s="222"/>
      <c r="T35" s="161"/>
      <c r="U35" s="203" t="s">
        <v>364</v>
      </c>
      <c r="V35" s="115"/>
      <c r="W35" s="114"/>
      <c r="X35" s="193"/>
      <c r="Y35" s="200"/>
      <c r="Z35" s="193"/>
      <c r="AA35" s="193"/>
      <c r="AB35" s="35"/>
      <c r="AC35" s="170"/>
      <c r="AD35" s="209"/>
      <c r="AE35" s="194"/>
      <c r="AF35" s="209"/>
      <c r="AG35" s="194"/>
      <c r="AH35" s="209"/>
      <c r="AI35" s="194"/>
      <c r="AJ35" s="232">
        <v>56</v>
      </c>
      <c r="AK35" s="170"/>
      <c r="AL35" s="272"/>
      <c r="AM35" s="212"/>
      <c r="AN35" s="269"/>
      <c r="AO35" s="217"/>
      <c r="AP35" s="232"/>
      <c r="AQ35" s="229"/>
      <c r="AR35" s="212"/>
      <c r="AS35" s="212"/>
      <c r="AT35" s="247">
        <f t="shared" si="6"/>
        <v>56</v>
      </c>
      <c r="AU35" s="228"/>
      <c r="AV35" s="279">
        <v>56</v>
      </c>
    </row>
    <row r="36" spans="1:48" s="62" customFormat="1" ht="24.75" customHeight="1">
      <c r="A36" s="59"/>
      <c r="B36" s="60"/>
      <c r="C36" s="60"/>
      <c r="D36" s="22"/>
      <c r="E36" s="79"/>
      <c r="F36" s="161" t="s">
        <v>41</v>
      </c>
      <c r="G36" s="222" t="s">
        <v>166</v>
      </c>
      <c r="H36" s="161"/>
      <c r="I36" s="222"/>
      <c r="J36" s="161"/>
      <c r="K36" s="222"/>
      <c r="L36" s="161"/>
      <c r="M36" s="222"/>
      <c r="N36" s="161"/>
      <c r="O36" s="222"/>
      <c r="P36" s="161"/>
      <c r="Q36" s="222"/>
      <c r="R36" s="161"/>
      <c r="S36" s="222"/>
      <c r="T36" s="161"/>
      <c r="U36" s="203" t="s">
        <v>367</v>
      </c>
      <c r="V36" s="115"/>
      <c r="W36" s="114"/>
      <c r="X36" s="193"/>
      <c r="Y36" s="200"/>
      <c r="Z36" s="193"/>
      <c r="AA36" s="193"/>
      <c r="AB36" s="35"/>
      <c r="AC36" s="170"/>
      <c r="AD36" s="209"/>
      <c r="AE36" s="194"/>
      <c r="AF36" s="209"/>
      <c r="AG36" s="194"/>
      <c r="AH36" s="209"/>
      <c r="AI36" s="194"/>
      <c r="AJ36" s="232">
        <v>364</v>
      </c>
      <c r="AK36" s="170"/>
      <c r="AL36" s="272"/>
      <c r="AM36" s="212"/>
      <c r="AN36" s="269"/>
      <c r="AO36" s="217"/>
      <c r="AP36" s="232"/>
      <c r="AQ36" s="229"/>
      <c r="AR36" s="212"/>
      <c r="AS36" s="212"/>
      <c r="AT36" s="247">
        <f t="shared" si="6"/>
        <v>364</v>
      </c>
      <c r="AU36" s="228"/>
      <c r="AV36" s="279">
        <v>364</v>
      </c>
    </row>
    <row r="37" spans="1:48" s="62" customFormat="1" ht="31.5">
      <c r="A37" s="59"/>
      <c r="B37" s="60"/>
      <c r="C37" s="60"/>
      <c r="D37" s="22"/>
      <c r="E37" s="79" t="s">
        <v>24</v>
      </c>
      <c r="F37" s="51" t="s">
        <v>53</v>
      </c>
      <c r="G37" s="275" t="s">
        <v>168</v>
      </c>
      <c r="H37" s="115" t="s">
        <v>91</v>
      </c>
      <c r="I37" s="115" t="s">
        <v>91</v>
      </c>
      <c r="J37" s="115">
        <v>360</v>
      </c>
      <c r="K37" s="115">
        <v>2</v>
      </c>
      <c r="L37" s="276">
        <v>533.03</v>
      </c>
      <c r="M37" s="277">
        <f>J37*K37</f>
        <v>720</v>
      </c>
      <c r="N37" s="276">
        <f>L37*M37</f>
        <v>383781.6</v>
      </c>
      <c r="O37" s="115">
        <v>180</v>
      </c>
      <c r="P37" s="276">
        <v>87354</v>
      </c>
      <c r="Q37" s="115">
        <v>720</v>
      </c>
      <c r="R37" s="276">
        <v>475977.6</v>
      </c>
      <c r="S37" s="115">
        <v>420</v>
      </c>
      <c r="T37" s="276">
        <v>223872.6</v>
      </c>
      <c r="U37" s="278" t="s">
        <v>268</v>
      </c>
      <c r="V37" s="115">
        <v>834</v>
      </c>
      <c r="W37" s="114">
        <v>43222</v>
      </c>
      <c r="X37" s="115" t="s">
        <v>162</v>
      </c>
      <c r="Y37" s="221">
        <v>43242</v>
      </c>
      <c r="Z37" s="115"/>
      <c r="AA37" s="115"/>
      <c r="AB37" s="35">
        <v>0</v>
      </c>
      <c r="AC37" s="170">
        <v>0</v>
      </c>
      <c r="AD37" s="208">
        <v>39</v>
      </c>
      <c r="AE37" s="170">
        <v>20468.37</v>
      </c>
      <c r="AF37" s="208"/>
      <c r="AG37" s="170"/>
      <c r="AH37" s="208"/>
      <c r="AI37" s="170"/>
      <c r="AJ37" s="233">
        <v>2</v>
      </c>
      <c r="AK37" s="170">
        <f t="shared" si="5"/>
        <v>20468.37</v>
      </c>
      <c r="AL37" s="270">
        <v>0</v>
      </c>
      <c r="AM37" s="170">
        <v>0</v>
      </c>
      <c r="AN37" s="270">
        <v>39</v>
      </c>
      <c r="AO37" s="170">
        <f t="shared" si="2"/>
        <v>20468.37</v>
      </c>
      <c r="AP37" s="233"/>
      <c r="AQ37" s="233"/>
      <c r="AR37" s="170">
        <v>524.83000000000004</v>
      </c>
      <c r="AS37" s="170">
        <f t="shared" si="3"/>
        <v>0</v>
      </c>
      <c r="AT37" s="233">
        <f t="shared" si="6"/>
        <v>0</v>
      </c>
      <c r="AU37" s="386">
        <f t="shared" si="4"/>
        <v>0</v>
      </c>
      <c r="AV37" s="233">
        <v>0</v>
      </c>
    </row>
    <row r="38" spans="1:48" s="62" customFormat="1" ht="31.5">
      <c r="A38" s="59"/>
      <c r="B38" s="60"/>
      <c r="C38" s="60"/>
      <c r="D38" s="22"/>
      <c r="E38" s="79"/>
      <c r="F38" s="51" t="s">
        <v>53</v>
      </c>
      <c r="G38" s="275" t="s">
        <v>168</v>
      </c>
      <c r="H38" s="115"/>
      <c r="I38" s="115"/>
      <c r="J38" s="115"/>
      <c r="K38" s="115"/>
      <c r="L38" s="276"/>
      <c r="M38" s="277"/>
      <c r="N38" s="276"/>
      <c r="O38" s="115"/>
      <c r="P38" s="276"/>
      <c r="Q38" s="115"/>
      <c r="R38" s="276"/>
      <c r="S38" s="115"/>
      <c r="T38" s="276"/>
      <c r="U38" s="278" t="s">
        <v>268</v>
      </c>
      <c r="V38" s="115"/>
      <c r="W38" s="114"/>
      <c r="X38" s="115"/>
      <c r="Y38" s="221"/>
      <c r="Z38" s="115"/>
      <c r="AA38" s="115"/>
      <c r="AB38" s="35"/>
      <c r="AC38" s="170"/>
      <c r="AD38" s="208"/>
      <c r="AE38" s="170"/>
      <c r="AF38" s="208"/>
      <c r="AG38" s="170"/>
      <c r="AH38" s="208"/>
      <c r="AI38" s="170"/>
      <c r="AJ38" s="233">
        <v>46</v>
      </c>
      <c r="AK38" s="170"/>
      <c r="AL38" s="270"/>
      <c r="AM38" s="170"/>
      <c r="AN38" s="270"/>
      <c r="AO38" s="170"/>
      <c r="AP38" s="233"/>
      <c r="AQ38" s="233"/>
      <c r="AR38" s="170"/>
      <c r="AS38" s="170"/>
      <c r="AT38" s="233">
        <f t="shared" si="6"/>
        <v>0</v>
      </c>
      <c r="AU38" s="386"/>
      <c r="AV38" s="233">
        <v>0</v>
      </c>
    </row>
    <row r="39" spans="1:48" s="62" customFormat="1" ht="31.5">
      <c r="A39" s="59"/>
      <c r="B39" s="60"/>
      <c r="C39" s="60"/>
      <c r="D39" s="22"/>
      <c r="E39" s="79"/>
      <c r="F39" s="179" t="s">
        <v>53</v>
      </c>
      <c r="G39" s="222" t="s">
        <v>168</v>
      </c>
      <c r="H39" s="193"/>
      <c r="I39" s="193"/>
      <c r="J39" s="193"/>
      <c r="K39" s="193"/>
      <c r="L39" s="243"/>
      <c r="M39" s="242"/>
      <c r="N39" s="243"/>
      <c r="O39" s="193"/>
      <c r="P39" s="243"/>
      <c r="Q39" s="193"/>
      <c r="R39" s="243"/>
      <c r="S39" s="193"/>
      <c r="T39" s="243"/>
      <c r="U39" s="203" t="s">
        <v>307</v>
      </c>
      <c r="V39" s="115"/>
      <c r="W39" s="114"/>
      <c r="X39" s="193"/>
      <c r="Y39" s="200"/>
      <c r="Z39" s="193"/>
      <c r="AA39" s="193"/>
      <c r="AB39" s="35"/>
      <c r="AC39" s="170"/>
      <c r="AD39" s="209"/>
      <c r="AE39" s="194"/>
      <c r="AF39" s="209"/>
      <c r="AG39" s="194"/>
      <c r="AH39" s="209"/>
      <c r="AI39" s="194"/>
      <c r="AJ39" s="232">
        <v>482</v>
      </c>
      <c r="AK39" s="170"/>
      <c r="AL39" s="272"/>
      <c r="AM39" s="212"/>
      <c r="AN39" s="269"/>
      <c r="AO39" s="217"/>
      <c r="AP39" s="232"/>
      <c r="AQ39" s="229"/>
      <c r="AR39" s="212"/>
      <c r="AS39" s="212"/>
      <c r="AT39" s="247">
        <f t="shared" si="6"/>
        <v>415</v>
      </c>
      <c r="AU39" s="228"/>
      <c r="AV39" s="279">
        <v>415</v>
      </c>
    </row>
    <row r="40" spans="1:48" s="62" customFormat="1" ht="31.5">
      <c r="A40" s="59"/>
      <c r="B40" s="60"/>
      <c r="C40" s="60"/>
      <c r="D40" s="22"/>
      <c r="E40" s="79"/>
      <c r="F40" s="51" t="s">
        <v>53</v>
      </c>
      <c r="G40" s="275" t="s">
        <v>168</v>
      </c>
      <c r="H40" s="115"/>
      <c r="I40" s="115"/>
      <c r="J40" s="115"/>
      <c r="K40" s="115"/>
      <c r="L40" s="276"/>
      <c r="M40" s="277"/>
      <c r="N40" s="276"/>
      <c r="O40" s="115"/>
      <c r="P40" s="276"/>
      <c r="Q40" s="115"/>
      <c r="R40" s="276"/>
      <c r="S40" s="115"/>
      <c r="T40" s="276"/>
      <c r="U40" s="278" t="s">
        <v>313</v>
      </c>
      <c r="V40" s="115"/>
      <c r="W40" s="114"/>
      <c r="X40" s="115"/>
      <c r="Y40" s="221"/>
      <c r="Z40" s="115"/>
      <c r="AA40" s="115"/>
      <c r="AB40" s="35"/>
      <c r="AC40" s="170"/>
      <c r="AD40" s="208"/>
      <c r="AE40" s="170"/>
      <c r="AF40" s="208"/>
      <c r="AG40" s="170"/>
      <c r="AH40" s="208"/>
      <c r="AI40" s="170"/>
      <c r="AJ40" s="233">
        <v>46</v>
      </c>
      <c r="AK40" s="170"/>
      <c r="AL40" s="270"/>
      <c r="AM40" s="170"/>
      <c r="AN40" s="270"/>
      <c r="AO40" s="170"/>
      <c r="AP40" s="233"/>
      <c r="AQ40" s="233"/>
      <c r="AR40" s="170"/>
      <c r="AS40" s="170"/>
      <c r="AT40" s="233">
        <f t="shared" si="6"/>
        <v>0</v>
      </c>
      <c r="AU40" s="386"/>
      <c r="AV40" s="233">
        <v>0</v>
      </c>
    </row>
    <row r="41" spans="1:48" s="62" customFormat="1" ht="31.5">
      <c r="A41" s="59"/>
      <c r="B41" s="60"/>
      <c r="C41" s="60"/>
      <c r="D41" s="22"/>
      <c r="E41" s="79"/>
      <c r="F41" s="179" t="s">
        <v>53</v>
      </c>
      <c r="G41" s="222" t="s">
        <v>168</v>
      </c>
      <c r="H41" s="193"/>
      <c r="I41" s="193"/>
      <c r="J41" s="193"/>
      <c r="K41" s="193"/>
      <c r="L41" s="243"/>
      <c r="M41" s="242"/>
      <c r="N41" s="243"/>
      <c r="O41" s="193"/>
      <c r="P41" s="243"/>
      <c r="Q41" s="193"/>
      <c r="R41" s="243"/>
      <c r="S41" s="193"/>
      <c r="T41" s="243"/>
      <c r="U41" s="203" t="s">
        <v>316</v>
      </c>
      <c r="V41" s="115"/>
      <c r="W41" s="114"/>
      <c r="X41" s="193"/>
      <c r="Y41" s="200"/>
      <c r="Z41" s="193"/>
      <c r="AA41" s="193"/>
      <c r="AB41" s="35"/>
      <c r="AC41" s="170"/>
      <c r="AD41" s="209"/>
      <c r="AE41" s="194"/>
      <c r="AF41" s="209"/>
      <c r="AG41" s="194"/>
      <c r="AH41" s="209"/>
      <c r="AI41" s="194"/>
      <c r="AJ41" s="232">
        <v>148</v>
      </c>
      <c r="AK41" s="170"/>
      <c r="AL41" s="272"/>
      <c r="AM41" s="212"/>
      <c r="AN41" s="269"/>
      <c r="AO41" s="217"/>
      <c r="AP41" s="232"/>
      <c r="AQ41" s="229"/>
      <c r="AR41" s="212"/>
      <c r="AS41" s="212"/>
      <c r="AT41" s="247">
        <f t="shared" si="6"/>
        <v>0</v>
      </c>
      <c r="AU41" s="228"/>
      <c r="AV41" s="279">
        <v>0</v>
      </c>
    </row>
    <row r="42" spans="1:48" s="62" customFormat="1" ht="31.5">
      <c r="A42" s="59"/>
      <c r="B42" s="60"/>
      <c r="C42" s="60"/>
      <c r="D42" s="22"/>
      <c r="E42" s="79"/>
      <c r="F42" s="179" t="s">
        <v>53</v>
      </c>
      <c r="G42" s="222" t="s">
        <v>168</v>
      </c>
      <c r="H42" s="193"/>
      <c r="I42" s="193"/>
      <c r="J42" s="193"/>
      <c r="K42" s="193"/>
      <c r="L42" s="243"/>
      <c r="M42" s="242"/>
      <c r="N42" s="243"/>
      <c r="O42" s="193"/>
      <c r="P42" s="243"/>
      <c r="Q42" s="193"/>
      <c r="R42" s="243"/>
      <c r="S42" s="193"/>
      <c r="T42" s="243"/>
      <c r="U42" s="203" t="s">
        <v>365</v>
      </c>
      <c r="V42" s="115"/>
      <c r="W42" s="114"/>
      <c r="X42" s="193"/>
      <c r="Y42" s="200"/>
      <c r="Z42" s="193"/>
      <c r="AA42" s="193"/>
      <c r="AB42" s="35"/>
      <c r="AC42" s="170"/>
      <c r="AD42" s="209"/>
      <c r="AE42" s="194"/>
      <c r="AF42" s="209"/>
      <c r="AG42" s="194"/>
      <c r="AH42" s="209"/>
      <c r="AI42" s="194"/>
      <c r="AJ42" s="232">
        <v>42</v>
      </c>
      <c r="AK42" s="170"/>
      <c r="AL42" s="272"/>
      <c r="AM42" s="212"/>
      <c r="AN42" s="269"/>
      <c r="AO42" s="217"/>
      <c r="AP42" s="232"/>
      <c r="AQ42" s="229"/>
      <c r="AR42" s="212"/>
      <c r="AS42" s="212"/>
      <c r="AT42" s="247">
        <f t="shared" si="6"/>
        <v>42</v>
      </c>
      <c r="AU42" s="228"/>
      <c r="AV42" s="279">
        <v>42</v>
      </c>
    </row>
    <row r="43" spans="1:48" s="62" customFormat="1" ht="31.5">
      <c r="A43" s="59"/>
      <c r="B43" s="60"/>
      <c r="C43" s="60"/>
      <c r="D43" s="22"/>
      <c r="E43" s="79"/>
      <c r="F43" s="179" t="s">
        <v>53</v>
      </c>
      <c r="G43" s="222" t="s">
        <v>168</v>
      </c>
      <c r="H43" s="193"/>
      <c r="I43" s="193"/>
      <c r="J43" s="193"/>
      <c r="K43" s="193"/>
      <c r="L43" s="243"/>
      <c r="M43" s="242"/>
      <c r="N43" s="243"/>
      <c r="O43" s="193"/>
      <c r="P43" s="243"/>
      <c r="Q43" s="193"/>
      <c r="R43" s="243"/>
      <c r="S43" s="193"/>
      <c r="T43" s="243"/>
      <c r="U43" s="203" t="s">
        <v>368</v>
      </c>
      <c r="V43" s="115"/>
      <c r="W43" s="114"/>
      <c r="X43" s="193"/>
      <c r="Y43" s="200"/>
      <c r="Z43" s="193"/>
      <c r="AA43" s="193"/>
      <c r="AB43" s="35"/>
      <c r="AC43" s="170"/>
      <c r="AD43" s="209"/>
      <c r="AE43" s="194"/>
      <c r="AF43" s="209"/>
      <c r="AG43" s="194"/>
      <c r="AH43" s="209"/>
      <c r="AI43" s="194"/>
      <c r="AJ43" s="232">
        <v>378</v>
      </c>
      <c r="AK43" s="170"/>
      <c r="AL43" s="272"/>
      <c r="AM43" s="212"/>
      <c r="AN43" s="269"/>
      <c r="AO43" s="217"/>
      <c r="AP43" s="232"/>
      <c r="AQ43" s="229"/>
      <c r="AR43" s="212"/>
      <c r="AS43" s="212"/>
      <c r="AT43" s="247">
        <f t="shared" si="6"/>
        <v>378</v>
      </c>
      <c r="AU43" s="228"/>
      <c r="AV43" s="279">
        <v>378</v>
      </c>
    </row>
    <row r="44" spans="1:48" s="62" customFormat="1" ht="26.25" customHeight="1">
      <c r="A44" s="59"/>
      <c r="B44" s="60"/>
      <c r="C44" s="60"/>
      <c r="D44" s="22"/>
      <c r="E44" s="79"/>
      <c r="F44" s="51" t="s">
        <v>43</v>
      </c>
      <c r="G44" s="275" t="s">
        <v>163</v>
      </c>
      <c r="H44" s="115"/>
      <c r="I44" s="115"/>
      <c r="J44" s="115"/>
      <c r="K44" s="115"/>
      <c r="L44" s="276"/>
      <c r="M44" s="277"/>
      <c r="N44" s="276"/>
      <c r="O44" s="115"/>
      <c r="P44" s="276"/>
      <c r="Q44" s="115"/>
      <c r="R44" s="276"/>
      <c r="S44" s="115"/>
      <c r="T44" s="276"/>
      <c r="U44" s="278" t="s">
        <v>260</v>
      </c>
      <c r="V44" s="115"/>
      <c r="W44" s="114"/>
      <c r="X44" s="115"/>
      <c r="Y44" s="221"/>
      <c r="Z44" s="115"/>
      <c r="AA44" s="115"/>
      <c r="AB44" s="35"/>
      <c r="AC44" s="170"/>
      <c r="AD44" s="208"/>
      <c r="AE44" s="170"/>
      <c r="AF44" s="208"/>
      <c r="AG44" s="170"/>
      <c r="AH44" s="208"/>
      <c r="AI44" s="170"/>
      <c r="AJ44" s="233">
        <v>50</v>
      </c>
      <c r="AK44" s="170"/>
      <c r="AL44" s="270"/>
      <c r="AM44" s="170"/>
      <c r="AN44" s="270"/>
      <c r="AO44" s="170"/>
      <c r="AP44" s="233"/>
      <c r="AQ44" s="233"/>
      <c r="AR44" s="170"/>
      <c r="AS44" s="170"/>
      <c r="AT44" s="233">
        <f t="shared" si="6"/>
        <v>0</v>
      </c>
      <c r="AU44" s="386"/>
      <c r="AV44" s="233">
        <v>0</v>
      </c>
    </row>
    <row r="45" spans="1:48" s="62" customFormat="1" ht="26.25" customHeight="1">
      <c r="A45" s="59"/>
      <c r="B45" s="60"/>
      <c r="C45" s="60"/>
      <c r="D45" s="22"/>
      <c r="E45" s="79"/>
      <c r="F45" s="51" t="s">
        <v>43</v>
      </c>
      <c r="G45" s="275" t="s">
        <v>163</v>
      </c>
      <c r="H45" s="115"/>
      <c r="I45" s="115"/>
      <c r="J45" s="115"/>
      <c r="K45" s="115"/>
      <c r="L45" s="276"/>
      <c r="M45" s="277"/>
      <c r="N45" s="276"/>
      <c r="O45" s="115"/>
      <c r="P45" s="276"/>
      <c r="Q45" s="115"/>
      <c r="R45" s="276"/>
      <c r="S45" s="115"/>
      <c r="T45" s="276"/>
      <c r="U45" s="278" t="s">
        <v>261</v>
      </c>
      <c r="V45" s="115"/>
      <c r="W45" s="114"/>
      <c r="X45" s="115"/>
      <c r="Y45" s="221"/>
      <c r="Z45" s="115"/>
      <c r="AA45" s="115"/>
      <c r="AB45" s="35"/>
      <c r="AC45" s="170"/>
      <c r="AD45" s="208"/>
      <c r="AE45" s="170"/>
      <c r="AF45" s="208"/>
      <c r="AG45" s="170"/>
      <c r="AH45" s="208"/>
      <c r="AI45" s="170"/>
      <c r="AJ45" s="233">
        <v>60</v>
      </c>
      <c r="AK45" s="170"/>
      <c r="AL45" s="270"/>
      <c r="AM45" s="170"/>
      <c r="AN45" s="270"/>
      <c r="AO45" s="170"/>
      <c r="AP45" s="233"/>
      <c r="AQ45" s="233"/>
      <c r="AR45" s="170"/>
      <c r="AS45" s="170"/>
      <c r="AT45" s="233">
        <f t="shared" si="6"/>
        <v>0</v>
      </c>
      <c r="AU45" s="386"/>
      <c r="AV45" s="233">
        <v>0</v>
      </c>
    </row>
    <row r="46" spans="1:48" s="62" customFormat="1" ht="26.25" customHeight="1">
      <c r="A46" s="59"/>
      <c r="B46" s="60"/>
      <c r="C46" s="60"/>
      <c r="D46" s="22"/>
      <c r="E46" s="79"/>
      <c r="F46" s="51" t="s">
        <v>43</v>
      </c>
      <c r="G46" s="275" t="s">
        <v>163</v>
      </c>
      <c r="H46" s="115"/>
      <c r="I46" s="115"/>
      <c r="J46" s="115"/>
      <c r="K46" s="115"/>
      <c r="L46" s="276"/>
      <c r="M46" s="277"/>
      <c r="N46" s="276"/>
      <c r="O46" s="115"/>
      <c r="P46" s="276"/>
      <c r="Q46" s="115"/>
      <c r="R46" s="276"/>
      <c r="S46" s="115"/>
      <c r="T46" s="276"/>
      <c r="U46" s="278" t="s">
        <v>282</v>
      </c>
      <c r="V46" s="115"/>
      <c r="W46" s="114"/>
      <c r="X46" s="115"/>
      <c r="Y46" s="221"/>
      <c r="Z46" s="115"/>
      <c r="AA46" s="115"/>
      <c r="AB46" s="35"/>
      <c r="AC46" s="170"/>
      <c r="AD46" s="208"/>
      <c r="AE46" s="170"/>
      <c r="AF46" s="208"/>
      <c r="AG46" s="170"/>
      <c r="AH46" s="208"/>
      <c r="AI46" s="170"/>
      <c r="AJ46" s="233">
        <v>45</v>
      </c>
      <c r="AK46" s="170"/>
      <c r="AL46" s="270"/>
      <c r="AM46" s="170"/>
      <c r="AN46" s="270"/>
      <c r="AO46" s="170"/>
      <c r="AP46" s="233"/>
      <c r="AQ46" s="233"/>
      <c r="AR46" s="170"/>
      <c r="AS46" s="170"/>
      <c r="AT46" s="233">
        <f t="shared" si="6"/>
        <v>0</v>
      </c>
      <c r="AU46" s="386"/>
      <c r="AV46" s="233">
        <v>0</v>
      </c>
    </row>
    <row r="47" spans="1:48" s="62" customFormat="1" ht="26.25" customHeight="1">
      <c r="A47" s="59"/>
      <c r="B47" s="60"/>
      <c r="C47" s="60"/>
      <c r="D47" s="22"/>
      <c r="E47" s="79"/>
      <c r="F47" s="51" t="s">
        <v>43</v>
      </c>
      <c r="G47" s="275" t="s">
        <v>163</v>
      </c>
      <c r="H47" s="115"/>
      <c r="I47" s="115"/>
      <c r="J47" s="115"/>
      <c r="K47" s="115"/>
      <c r="L47" s="276"/>
      <c r="M47" s="277"/>
      <c r="N47" s="276"/>
      <c r="O47" s="115"/>
      <c r="P47" s="276"/>
      <c r="Q47" s="115"/>
      <c r="R47" s="276"/>
      <c r="S47" s="115"/>
      <c r="T47" s="276"/>
      <c r="U47" s="278" t="s">
        <v>308</v>
      </c>
      <c r="V47" s="115"/>
      <c r="W47" s="114"/>
      <c r="X47" s="115"/>
      <c r="Y47" s="221"/>
      <c r="Z47" s="115"/>
      <c r="AA47" s="115"/>
      <c r="AB47" s="35"/>
      <c r="AC47" s="170"/>
      <c r="AD47" s="208"/>
      <c r="AE47" s="170"/>
      <c r="AF47" s="208"/>
      <c r="AG47" s="170"/>
      <c r="AH47" s="208"/>
      <c r="AI47" s="170"/>
      <c r="AJ47" s="233">
        <v>25</v>
      </c>
      <c r="AK47" s="170"/>
      <c r="AL47" s="270"/>
      <c r="AM47" s="170"/>
      <c r="AN47" s="270"/>
      <c r="AO47" s="170"/>
      <c r="AP47" s="233"/>
      <c r="AQ47" s="233"/>
      <c r="AR47" s="170"/>
      <c r="AS47" s="170"/>
      <c r="AT47" s="233">
        <f t="shared" si="6"/>
        <v>0</v>
      </c>
      <c r="AU47" s="386"/>
      <c r="AV47" s="233">
        <v>0</v>
      </c>
    </row>
    <row r="48" spans="1:48" s="62" customFormat="1" ht="26.25" customHeight="1">
      <c r="A48" s="59"/>
      <c r="B48" s="60"/>
      <c r="C48" s="60"/>
      <c r="D48" s="22"/>
      <c r="E48" s="79"/>
      <c r="F48" s="51" t="s">
        <v>43</v>
      </c>
      <c r="G48" s="275" t="s">
        <v>163</v>
      </c>
      <c r="H48" s="115"/>
      <c r="I48" s="115"/>
      <c r="J48" s="115"/>
      <c r="K48" s="115"/>
      <c r="L48" s="276"/>
      <c r="M48" s="277"/>
      <c r="N48" s="276"/>
      <c r="O48" s="115"/>
      <c r="P48" s="276"/>
      <c r="Q48" s="115"/>
      <c r="R48" s="276"/>
      <c r="S48" s="115"/>
      <c r="T48" s="276"/>
      <c r="U48" s="278" t="s">
        <v>317</v>
      </c>
      <c r="V48" s="115"/>
      <c r="W48" s="114"/>
      <c r="X48" s="115"/>
      <c r="Y48" s="221"/>
      <c r="Z48" s="115"/>
      <c r="AA48" s="115"/>
      <c r="AB48" s="35"/>
      <c r="AC48" s="170"/>
      <c r="AD48" s="208"/>
      <c r="AE48" s="170"/>
      <c r="AF48" s="208"/>
      <c r="AG48" s="170"/>
      <c r="AH48" s="208"/>
      <c r="AI48" s="170"/>
      <c r="AJ48" s="233">
        <v>5</v>
      </c>
      <c r="AK48" s="170"/>
      <c r="AL48" s="270"/>
      <c r="AM48" s="170"/>
      <c r="AN48" s="270"/>
      <c r="AO48" s="170"/>
      <c r="AP48" s="233"/>
      <c r="AQ48" s="233"/>
      <c r="AR48" s="170"/>
      <c r="AS48" s="170"/>
      <c r="AT48" s="233">
        <f t="shared" si="6"/>
        <v>0</v>
      </c>
      <c r="AU48" s="386"/>
      <c r="AV48" s="233">
        <v>0</v>
      </c>
    </row>
    <row r="49" spans="1:48" s="62" customFormat="1" ht="26.25" customHeight="1">
      <c r="A49" s="59"/>
      <c r="B49" s="60"/>
      <c r="C49" s="60"/>
      <c r="D49" s="22"/>
      <c r="E49" s="79"/>
      <c r="F49" s="51" t="s">
        <v>43</v>
      </c>
      <c r="G49" s="275" t="s">
        <v>163</v>
      </c>
      <c r="H49" s="115"/>
      <c r="I49" s="115"/>
      <c r="J49" s="115"/>
      <c r="K49" s="115"/>
      <c r="L49" s="276"/>
      <c r="M49" s="277"/>
      <c r="N49" s="276"/>
      <c r="O49" s="115"/>
      <c r="P49" s="276"/>
      <c r="Q49" s="115"/>
      <c r="R49" s="276"/>
      <c r="S49" s="115"/>
      <c r="T49" s="276"/>
      <c r="U49" s="278" t="s">
        <v>317</v>
      </c>
      <c r="V49" s="115"/>
      <c r="W49" s="114"/>
      <c r="X49" s="115"/>
      <c r="Y49" s="221"/>
      <c r="Z49" s="115"/>
      <c r="AA49" s="115"/>
      <c r="AB49" s="35"/>
      <c r="AC49" s="170"/>
      <c r="AD49" s="208"/>
      <c r="AE49" s="170"/>
      <c r="AF49" s="208"/>
      <c r="AG49" s="170"/>
      <c r="AH49" s="208"/>
      <c r="AI49" s="170"/>
      <c r="AJ49" s="233">
        <v>35</v>
      </c>
      <c r="AK49" s="170"/>
      <c r="AL49" s="270"/>
      <c r="AM49" s="170"/>
      <c r="AN49" s="270"/>
      <c r="AO49" s="170"/>
      <c r="AP49" s="233"/>
      <c r="AQ49" s="233"/>
      <c r="AR49" s="170"/>
      <c r="AS49" s="170"/>
      <c r="AT49" s="233">
        <f t="shared" si="6"/>
        <v>0</v>
      </c>
      <c r="AU49" s="386"/>
      <c r="AV49" s="233">
        <v>0</v>
      </c>
    </row>
    <row r="50" spans="1:48" s="62" customFormat="1" ht="26.25" customHeight="1">
      <c r="A50" s="59"/>
      <c r="B50" s="60"/>
      <c r="C50" s="60"/>
      <c r="D50" s="22"/>
      <c r="E50" s="79"/>
      <c r="F50" s="51" t="s">
        <v>43</v>
      </c>
      <c r="G50" s="275" t="s">
        <v>163</v>
      </c>
      <c r="H50" s="115"/>
      <c r="I50" s="115"/>
      <c r="J50" s="115"/>
      <c r="K50" s="115"/>
      <c r="L50" s="276"/>
      <c r="M50" s="277"/>
      <c r="N50" s="276"/>
      <c r="O50" s="115"/>
      <c r="P50" s="276"/>
      <c r="Q50" s="115"/>
      <c r="R50" s="276"/>
      <c r="S50" s="115"/>
      <c r="T50" s="276"/>
      <c r="U50" s="278" t="s">
        <v>337</v>
      </c>
      <c r="V50" s="115"/>
      <c r="W50" s="114"/>
      <c r="X50" s="115"/>
      <c r="Y50" s="221"/>
      <c r="Z50" s="115"/>
      <c r="AA50" s="115"/>
      <c r="AB50" s="35"/>
      <c r="AC50" s="170"/>
      <c r="AD50" s="208"/>
      <c r="AE50" s="170"/>
      <c r="AF50" s="208"/>
      <c r="AG50" s="170"/>
      <c r="AH50" s="208"/>
      <c r="AI50" s="170"/>
      <c r="AJ50" s="233">
        <v>20</v>
      </c>
      <c r="AK50" s="170"/>
      <c r="AL50" s="270"/>
      <c r="AM50" s="170"/>
      <c r="AN50" s="270"/>
      <c r="AO50" s="170"/>
      <c r="AP50" s="233"/>
      <c r="AQ50" s="233"/>
      <c r="AR50" s="170"/>
      <c r="AS50" s="170"/>
      <c r="AT50" s="233">
        <f t="shared" si="6"/>
        <v>0</v>
      </c>
      <c r="AU50" s="386"/>
      <c r="AV50" s="233">
        <v>0</v>
      </c>
    </row>
    <row r="51" spans="1:48" s="62" customFormat="1" ht="26.25" customHeight="1">
      <c r="A51" s="59"/>
      <c r="B51" s="60"/>
      <c r="C51" s="60"/>
      <c r="D51" s="22"/>
      <c r="E51" s="79"/>
      <c r="F51" s="51" t="s">
        <v>43</v>
      </c>
      <c r="G51" s="275" t="s">
        <v>163</v>
      </c>
      <c r="H51" s="115"/>
      <c r="I51" s="115"/>
      <c r="J51" s="115"/>
      <c r="K51" s="115"/>
      <c r="L51" s="276"/>
      <c r="M51" s="277"/>
      <c r="N51" s="276"/>
      <c r="O51" s="115"/>
      <c r="P51" s="276"/>
      <c r="Q51" s="115"/>
      <c r="R51" s="276"/>
      <c r="S51" s="115"/>
      <c r="T51" s="276"/>
      <c r="U51" s="278" t="s">
        <v>337</v>
      </c>
      <c r="V51" s="115"/>
      <c r="W51" s="114"/>
      <c r="X51" s="115"/>
      <c r="Y51" s="221"/>
      <c r="Z51" s="115"/>
      <c r="AA51" s="115"/>
      <c r="AB51" s="35"/>
      <c r="AC51" s="170"/>
      <c r="AD51" s="208"/>
      <c r="AE51" s="170"/>
      <c r="AF51" s="208"/>
      <c r="AG51" s="170"/>
      <c r="AH51" s="208"/>
      <c r="AI51" s="170"/>
      <c r="AJ51" s="233">
        <v>25</v>
      </c>
      <c r="AK51" s="170"/>
      <c r="AL51" s="270"/>
      <c r="AM51" s="170"/>
      <c r="AN51" s="270"/>
      <c r="AO51" s="170"/>
      <c r="AP51" s="233"/>
      <c r="AQ51" s="233"/>
      <c r="AR51" s="170"/>
      <c r="AS51" s="170"/>
      <c r="AT51" s="233">
        <f t="shared" si="6"/>
        <v>0</v>
      </c>
      <c r="AU51" s="386"/>
      <c r="AV51" s="233">
        <v>0</v>
      </c>
    </row>
    <row r="52" spans="1:48" s="62" customFormat="1" ht="26.25" customHeight="1">
      <c r="A52" s="59"/>
      <c r="B52" s="60"/>
      <c r="C52" s="60"/>
      <c r="D52" s="22"/>
      <c r="E52" s="79"/>
      <c r="F52" s="162" t="s">
        <v>43</v>
      </c>
      <c r="G52" s="222" t="s">
        <v>163</v>
      </c>
      <c r="H52" s="193"/>
      <c r="I52" s="193"/>
      <c r="J52" s="193"/>
      <c r="K52" s="193"/>
      <c r="L52" s="243"/>
      <c r="M52" s="242"/>
      <c r="N52" s="243"/>
      <c r="O52" s="193"/>
      <c r="P52" s="243"/>
      <c r="Q52" s="193"/>
      <c r="R52" s="243"/>
      <c r="S52" s="193"/>
      <c r="T52" s="243"/>
      <c r="U52" s="203" t="s">
        <v>369</v>
      </c>
      <c r="V52" s="115"/>
      <c r="W52" s="114"/>
      <c r="X52" s="193"/>
      <c r="Y52" s="200"/>
      <c r="Z52" s="193"/>
      <c r="AA52" s="193"/>
      <c r="AB52" s="35"/>
      <c r="AC52" s="170"/>
      <c r="AD52" s="209"/>
      <c r="AE52" s="194"/>
      <c r="AF52" s="209"/>
      <c r="AG52" s="194"/>
      <c r="AH52" s="209"/>
      <c r="AI52" s="194"/>
      <c r="AJ52" s="232">
        <v>2</v>
      </c>
      <c r="AK52" s="170"/>
      <c r="AL52" s="272"/>
      <c r="AM52" s="212"/>
      <c r="AN52" s="269"/>
      <c r="AO52" s="217"/>
      <c r="AP52" s="232"/>
      <c r="AQ52" s="229"/>
      <c r="AR52" s="212"/>
      <c r="AS52" s="212"/>
      <c r="AT52" s="247">
        <f t="shared" si="6"/>
        <v>2</v>
      </c>
      <c r="AU52" s="228"/>
      <c r="AV52" s="279">
        <v>2</v>
      </c>
    </row>
    <row r="53" spans="1:48" s="62" customFormat="1" ht="24" customHeight="1">
      <c r="A53" s="59"/>
      <c r="B53" s="60"/>
      <c r="C53" s="60"/>
      <c r="D53" s="22"/>
      <c r="E53" s="79" t="s">
        <v>24</v>
      </c>
      <c r="F53" s="51" t="s">
        <v>269</v>
      </c>
      <c r="G53" s="275" t="s">
        <v>152</v>
      </c>
      <c r="H53" s="115" t="s">
        <v>91</v>
      </c>
      <c r="I53" s="115" t="s">
        <v>91</v>
      </c>
      <c r="J53" s="115"/>
      <c r="K53" s="115"/>
      <c r="L53" s="276"/>
      <c r="M53" s="277">
        <f>J53*K53</f>
        <v>0</v>
      </c>
      <c r="N53" s="276">
        <f>L53*M53</f>
        <v>0</v>
      </c>
      <c r="O53" s="115"/>
      <c r="P53" s="276"/>
      <c r="Q53" s="115"/>
      <c r="R53" s="276"/>
      <c r="S53" s="115"/>
      <c r="T53" s="276"/>
      <c r="U53" s="278" t="s">
        <v>265</v>
      </c>
      <c r="V53" s="115">
        <v>1405</v>
      </c>
      <c r="W53" s="114">
        <v>43052</v>
      </c>
      <c r="X53" s="115"/>
      <c r="Y53" s="115"/>
      <c r="Z53" s="115"/>
      <c r="AA53" s="115"/>
      <c r="AB53" s="35">
        <v>120</v>
      </c>
      <c r="AC53" s="170">
        <v>58734</v>
      </c>
      <c r="AD53" s="208"/>
      <c r="AE53" s="170"/>
      <c r="AF53" s="208"/>
      <c r="AG53" s="170"/>
      <c r="AH53" s="208"/>
      <c r="AI53" s="170"/>
      <c r="AJ53" s="233">
        <v>140</v>
      </c>
      <c r="AK53" s="170">
        <f>AE53+AG53+AI53</f>
        <v>0</v>
      </c>
      <c r="AL53" s="270">
        <f>15+30+10+25+20+20</f>
        <v>120</v>
      </c>
      <c r="AM53" s="170">
        <f>7341.75+14683.5+4894.5+12236.25+9789</f>
        <v>48945</v>
      </c>
      <c r="AN53" s="270">
        <v>0</v>
      </c>
      <c r="AO53" s="170">
        <f>AC53+AK53-AM53</f>
        <v>9789</v>
      </c>
      <c r="AP53" s="233"/>
      <c r="AQ53" s="233"/>
      <c r="AR53" s="170">
        <v>489.45</v>
      </c>
      <c r="AS53" s="170">
        <f>AQ53*AR53</f>
        <v>0</v>
      </c>
      <c r="AT53" s="233">
        <f t="shared" si="6"/>
        <v>0</v>
      </c>
      <c r="AU53" s="386">
        <f>AT53*AR53</f>
        <v>0</v>
      </c>
      <c r="AV53" s="233">
        <v>0</v>
      </c>
    </row>
    <row r="54" spans="1:48" s="62" customFormat="1" ht="26.25" hidden="1" customHeight="1">
      <c r="A54" s="59"/>
      <c r="B54" s="60"/>
      <c r="C54" s="60"/>
      <c r="D54" s="22"/>
      <c r="E54" s="79" t="s">
        <v>24</v>
      </c>
      <c r="F54" s="51" t="s">
        <v>44</v>
      </c>
      <c r="G54" s="275" t="s">
        <v>116</v>
      </c>
      <c r="H54" s="115" t="s">
        <v>91</v>
      </c>
      <c r="I54" s="115" t="s">
        <v>91</v>
      </c>
      <c r="J54" s="115"/>
      <c r="K54" s="115"/>
      <c r="L54" s="276"/>
      <c r="M54" s="277">
        <f t="shared" si="0"/>
        <v>0</v>
      </c>
      <c r="N54" s="276">
        <f t="shared" si="1"/>
        <v>0</v>
      </c>
      <c r="O54" s="115"/>
      <c r="P54" s="276"/>
      <c r="Q54" s="115"/>
      <c r="R54" s="276"/>
      <c r="S54" s="115"/>
      <c r="T54" s="276"/>
      <c r="U54" s="278" t="s">
        <v>186</v>
      </c>
      <c r="V54" s="115">
        <v>1418</v>
      </c>
      <c r="W54" s="114">
        <v>43312</v>
      </c>
      <c r="X54" s="115" t="s">
        <v>184</v>
      </c>
      <c r="Y54" s="221">
        <v>43332</v>
      </c>
      <c r="Z54" s="115" t="s">
        <v>185</v>
      </c>
      <c r="AA54" s="221">
        <v>43320</v>
      </c>
      <c r="AB54" s="22">
        <v>0</v>
      </c>
      <c r="AC54" s="170">
        <v>0</v>
      </c>
      <c r="AD54" s="208">
        <v>55</v>
      </c>
      <c r="AE54" s="170">
        <v>10780</v>
      </c>
      <c r="AF54" s="208"/>
      <c r="AG54" s="170"/>
      <c r="AH54" s="208"/>
      <c r="AI54" s="170"/>
      <c r="AJ54" s="233"/>
      <c r="AK54" s="170">
        <f t="shared" si="5"/>
        <v>10780</v>
      </c>
      <c r="AL54" s="270">
        <v>0</v>
      </c>
      <c r="AM54" s="170">
        <v>0</v>
      </c>
      <c r="AN54" s="270">
        <v>55</v>
      </c>
      <c r="AO54" s="170">
        <v>0</v>
      </c>
      <c r="AP54" s="233"/>
      <c r="AQ54" s="233"/>
      <c r="AR54" s="170">
        <v>196</v>
      </c>
      <c r="AS54" s="170">
        <f t="shared" si="3"/>
        <v>0</v>
      </c>
      <c r="AT54" s="233">
        <f t="shared" si="6"/>
        <v>0</v>
      </c>
      <c r="AU54" s="386">
        <f t="shared" si="4"/>
        <v>0</v>
      </c>
      <c r="AV54" s="233">
        <v>0</v>
      </c>
    </row>
    <row r="55" spans="1:48" s="62" customFormat="1" ht="26.25" customHeight="1">
      <c r="A55" s="59"/>
      <c r="B55" s="60"/>
      <c r="C55" s="60"/>
      <c r="D55" s="22"/>
      <c r="E55" s="79"/>
      <c r="F55" s="51" t="s">
        <v>269</v>
      </c>
      <c r="G55" s="275" t="s">
        <v>152</v>
      </c>
      <c r="H55" s="115"/>
      <c r="I55" s="115"/>
      <c r="J55" s="115"/>
      <c r="K55" s="115"/>
      <c r="L55" s="276"/>
      <c r="M55" s="277"/>
      <c r="N55" s="276"/>
      <c r="O55" s="115"/>
      <c r="P55" s="276"/>
      <c r="Q55" s="115"/>
      <c r="R55" s="276"/>
      <c r="S55" s="115"/>
      <c r="T55" s="276"/>
      <c r="U55" s="278" t="s">
        <v>265</v>
      </c>
      <c r="V55" s="115"/>
      <c r="W55" s="114"/>
      <c r="X55" s="115"/>
      <c r="Y55" s="221"/>
      <c r="Z55" s="115"/>
      <c r="AA55" s="221"/>
      <c r="AB55" s="22"/>
      <c r="AC55" s="170"/>
      <c r="AD55" s="208"/>
      <c r="AE55" s="170"/>
      <c r="AF55" s="208"/>
      <c r="AG55" s="170"/>
      <c r="AH55" s="208"/>
      <c r="AI55" s="170"/>
      <c r="AJ55" s="233">
        <v>50</v>
      </c>
      <c r="AK55" s="170"/>
      <c r="AL55" s="270"/>
      <c r="AM55" s="170"/>
      <c r="AN55" s="270"/>
      <c r="AO55" s="170"/>
      <c r="AP55" s="233"/>
      <c r="AQ55" s="233"/>
      <c r="AR55" s="170"/>
      <c r="AS55" s="170"/>
      <c r="AT55" s="233">
        <f t="shared" si="6"/>
        <v>0</v>
      </c>
      <c r="AU55" s="386"/>
      <c r="AV55" s="233">
        <v>0</v>
      </c>
    </row>
    <row r="56" spans="1:48" s="62" customFormat="1" ht="26.25" customHeight="1">
      <c r="A56" s="59"/>
      <c r="B56" s="60"/>
      <c r="C56" s="60"/>
      <c r="D56" s="22"/>
      <c r="E56" s="79"/>
      <c r="F56" s="51" t="s">
        <v>269</v>
      </c>
      <c r="G56" s="275" t="s">
        <v>152</v>
      </c>
      <c r="H56" s="115"/>
      <c r="I56" s="115"/>
      <c r="J56" s="115"/>
      <c r="K56" s="115"/>
      <c r="L56" s="276"/>
      <c r="M56" s="277"/>
      <c r="N56" s="276"/>
      <c r="O56" s="115"/>
      <c r="P56" s="276"/>
      <c r="Q56" s="115"/>
      <c r="R56" s="276"/>
      <c r="S56" s="115"/>
      <c r="T56" s="276"/>
      <c r="U56" s="278" t="s">
        <v>314</v>
      </c>
      <c r="V56" s="115"/>
      <c r="W56" s="114"/>
      <c r="X56" s="115"/>
      <c r="Y56" s="221"/>
      <c r="Z56" s="115"/>
      <c r="AA56" s="221"/>
      <c r="AB56" s="22"/>
      <c r="AC56" s="170"/>
      <c r="AD56" s="208"/>
      <c r="AE56" s="170"/>
      <c r="AF56" s="208"/>
      <c r="AG56" s="170"/>
      <c r="AH56" s="208"/>
      <c r="AI56" s="170"/>
      <c r="AJ56" s="233">
        <v>75</v>
      </c>
      <c r="AK56" s="170"/>
      <c r="AL56" s="270"/>
      <c r="AM56" s="170"/>
      <c r="AN56" s="270"/>
      <c r="AO56" s="170"/>
      <c r="AP56" s="233"/>
      <c r="AQ56" s="233"/>
      <c r="AR56" s="170"/>
      <c r="AS56" s="170"/>
      <c r="AT56" s="233">
        <f t="shared" si="6"/>
        <v>0</v>
      </c>
      <c r="AU56" s="386"/>
      <c r="AV56" s="233">
        <v>0</v>
      </c>
    </row>
    <row r="57" spans="1:48" s="62" customFormat="1" ht="26.25" customHeight="1">
      <c r="A57" s="59"/>
      <c r="B57" s="60"/>
      <c r="C57" s="60"/>
      <c r="D57" s="22"/>
      <c r="E57" s="79"/>
      <c r="F57" s="51" t="s">
        <v>269</v>
      </c>
      <c r="G57" s="275" t="s">
        <v>152</v>
      </c>
      <c r="H57" s="115"/>
      <c r="I57" s="115"/>
      <c r="J57" s="115"/>
      <c r="K57" s="115"/>
      <c r="L57" s="276"/>
      <c r="M57" s="277"/>
      <c r="N57" s="276"/>
      <c r="O57" s="115"/>
      <c r="P57" s="276"/>
      <c r="Q57" s="115"/>
      <c r="R57" s="276"/>
      <c r="S57" s="115"/>
      <c r="T57" s="276"/>
      <c r="U57" s="278" t="s">
        <v>322</v>
      </c>
      <c r="V57" s="115"/>
      <c r="W57" s="114"/>
      <c r="X57" s="115"/>
      <c r="Y57" s="221"/>
      <c r="Z57" s="115"/>
      <c r="AA57" s="221"/>
      <c r="AB57" s="22"/>
      <c r="AC57" s="170"/>
      <c r="AD57" s="208"/>
      <c r="AE57" s="170"/>
      <c r="AF57" s="208"/>
      <c r="AG57" s="170"/>
      <c r="AH57" s="208"/>
      <c r="AI57" s="170"/>
      <c r="AJ57" s="233">
        <v>35</v>
      </c>
      <c r="AK57" s="170"/>
      <c r="AL57" s="270"/>
      <c r="AM57" s="170"/>
      <c r="AN57" s="270"/>
      <c r="AO57" s="170"/>
      <c r="AP57" s="233"/>
      <c r="AQ57" s="233"/>
      <c r="AR57" s="170"/>
      <c r="AS57" s="170"/>
      <c r="AT57" s="233">
        <f t="shared" si="6"/>
        <v>0</v>
      </c>
      <c r="AU57" s="386"/>
      <c r="AV57" s="233">
        <v>0</v>
      </c>
    </row>
    <row r="58" spans="1:48" s="62" customFormat="1" ht="26.25" customHeight="1">
      <c r="A58" s="59"/>
      <c r="B58" s="60"/>
      <c r="C58" s="60"/>
      <c r="D58" s="22"/>
      <c r="E58" s="79"/>
      <c r="F58" s="485" t="s">
        <v>269</v>
      </c>
      <c r="G58" s="222" t="s">
        <v>152</v>
      </c>
      <c r="H58" s="115"/>
      <c r="I58" s="115"/>
      <c r="J58" s="115"/>
      <c r="K58" s="115"/>
      <c r="L58" s="276"/>
      <c r="M58" s="277"/>
      <c r="N58" s="276"/>
      <c r="O58" s="115"/>
      <c r="P58" s="276"/>
      <c r="Q58" s="115"/>
      <c r="R58" s="276"/>
      <c r="S58" s="115"/>
      <c r="T58" s="276"/>
      <c r="U58" s="203" t="s">
        <v>322</v>
      </c>
      <c r="V58" s="115"/>
      <c r="W58" s="114"/>
      <c r="X58" s="115"/>
      <c r="Y58" s="221"/>
      <c r="Z58" s="115"/>
      <c r="AA58" s="221"/>
      <c r="AB58" s="22"/>
      <c r="AC58" s="170"/>
      <c r="AD58" s="208"/>
      <c r="AE58" s="170"/>
      <c r="AF58" s="208"/>
      <c r="AG58" s="170"/>
      <c r="AH58" s="208"/>
      <c r="AI58" s="170"/>
      <c r="AJ58" s="232">
        <v>490</v>
      </c>
      <c r="AK58" s="170"/>
      <c r="AL58" s="270"/>
      <c r="AM58" s="170"/>
      <c r="AN58" s="270"/>
      <c r="AO58" s="170"/>
      <c r="AP58" s="233"/>
      <c r="AQ58" s="233"/>
      <c r="AR58" s="170"/>
      <c r="AS58" s="170"/>
      <c r="AT58" s="247">
        <f t="shared" si="6"/>
        <v>470</v>
      </c>
      <c r="AU58" s="386"/>
      <c r="AV58" s="279">
        <v>470</v>
      </c>
    </row>
    <row r="59" spans="1:48" s="62" customFormat="1" ht="26.25" customHeight="1">
      <c r="A59" s="59"/>
      <c r="B59" s="60"/>
      <c r="C59" s="60"/>
      <c r="D59" s="22"/>
      <c r="E59" s="79"/>
      <c r="F59" s="177" t="s">
        <v>44</v>
      </c>
      <c r="G59" s="222" t="s">
        <v>116</v>
      </c>
      <c r="H59" s="115"/>
      <c r="I59" s="115"/>
      <c r="J59" s="115"/>
      <c r="K59" s="115"/>
      <c r="L59" s="276"/>
      <c r="M59" s="277"/>
      <c r="N59" s="276"/>
      <c r="O59" s="115"/>
      <c r="P59" s="276"/>
      <c r="Q59" s="115"/>
      <c r="R59" s="276"/>
      <c r="S59" s="115"/>
      <c r="T59" s="276"/>
      <c r="U59" s="203" t="s">
        <v>332</v>
      </c>
      <c r="V59" s="115"/>
      <c r="W59" s="114"/>
      <c r="X59" s="115"/>
      <c r="Y59" s="221"/>
      <c r="Z59" s="115"/>
      <c r="AA59" s="221"/>
      <c r="AB59" s="22"/>
      <c r="AC59" s="170"/>
      <c r="AD59" s="208"/>
      <c r="AE59" s="170"/>
      <c r="AF59" s="208"/>
      <c r="AG59" s="170"/>
      <c r="AH59" s="208"/>
      <c r="AI59" s="170"/>
      <c r="AJ59" s="232">
        <v>475</v>
      </c>
      <c r="AK59" s="170"/>
      <c r="AL59" s="270"/>
      <c r="AM59" s="170"/>
      <c r="AN59" s="270"/>
      <c r="AO59" s="170"/>
      <c r="AP59" s="233"/>
      <c r="AQ59" s="233"/>
      <c r="AR59" s="170"/>
      <c r="AS59" s="170"/>
      <c r="AT59" s="247">
        <f t="shared" si="6"/>
        <v>145</v>
      </c>
      <c r="AU59" s="386"/>
      <c r="AV59" s="279">
        <v>145</v>
      </c>
    </row>
    <row r="60" spans="1:48" s="62" customFormat="1" ht="27" hidden="1" customHeight="1">
      <c r="A60" s="59"/>
      <c r="B60" s="60"/>
      <c r="C60" s="60"/>
      <c r="D60" s="22"/>
      <c r="E60" s="79" t="s">
        <v>24</v>
      </c>
      <c r="F60" s="51" t="s">
        <v>52</v>
      </c>
      <c r="G60" s="275" t="s">
        <v>111</v>
      </c>
      <c r="H60" s="115" t="s">
        <v>91</v>
      </c>
      <c r="I60" s="115" t="s">
        <v>91</v>
      </c>
      <c r="J60" s="115"/>
      <c r="K60" s="115"/>
      <c r="L60" s="276"/>
      <c r="M60" s="277">
        <f t="shared" si="0"/>
        <v>0</v>
      </c>
      <c r="N60" s="276">
        <f t="shared" si="1"/>
        <v>0</v>
      </c>
      <c r="O60" s="115"/>
      <c r="P60" s="276"/>
      <c r="Q60" s="115"/>
      <c r="R60" s="276"/>
      <c r="S60" s="115"/>
      <c r="T60" s="276"/>
      <c r="U60" s="278" t="s">
        <v>112</v>
      </c>
      <c r="V60" s="115">
        <v>1625</v>
      </c>
      <c r="W60" s="114">
        <v>43087</v>
      </c>
      <c r="X60" s="115" t="s">
        <v>109</v>
      </c>
      <c r="Y60" s="221">
        <v>43109</v>
      </c>
      <c r="Z60" s="115" t="s">
        <v>110</v>
      </c>
      <c r="AA60" s="221">
        <v>43111</v>
      </c>
      <c r="AB60" s="22">
        <v>0</v>
      </c>
      <c r="AC60" s="170">
        <v>0</v>
      </c>
      <c r="AD60" s="208">
        <v>5</v>
      </c>
      <c r="AE60" s="170">
        <v>1010.9</v>
      </c>
      <c r="AF60" s="208"/>
      <c r="AG60" s="170"/>
      <c r="AH60" s="208"/>
      <c r="AI60" s="170"/>
      <c r="AJ60" s="232"/>
      <c r="AK60" s="170">
        <f t="shared" si="5"/>
        <v>1010.9</v>
      </c>
      <c r="AL60" s="270">
        <v>5</v>
      </c>
      <c r="AM60" s="170">
        <v>1010.9</v>
      </c>
      <c r="AN60" s="270">
        <v>0</v>
      </c>
      <c r="AO60" s="170">
        <f t="shared" si="2"/>
        <v>0</v>
      </c>
      <c r="AP60" s="233"/>
      <c r="AQ60" s="233"/>
      <c r="AR60" s="170"/>
      <c r="AS60" s="170">
        <f t="shared" si="3"/>
        <v>0</v>
      </c>
      <c r="AT60" s="247">
        <f t="shared" si="6"/>
        <v>0</v>
      </c>
      <c r="AU60" s="170">
        <f t="shared" si="4"/>
        <v>0</v>
      </c>
      <c r="AV60" s="233">
        <v>0</v>
      </c>
    </row>
    <row r="61" spans="1:48" s="62" customFormat="1" ht="27" hidden="1" customHeight="1">
      <c r="A61" s="59"/>
      <c r="B61" s="60"/>
      <c r="C61" s="60"/>
      <c r="D61" s="22"/>
      <c r="E61" s="79" t="s">
        <v>24</v>
      </c>
      <c r="F61" s="51" t="s">
        <v>52</v>
      </c>
      <c r="G61" s="275" t="s">
        <v>111</v>
      </c>
      <c r="H61" s="115" t="s">
        <v>91</v>
      </c>
      <c r="I61" s="115" t="s">
        <v>91</v>
      </c>
      <c r="J61" s="115">
        <v>2016</v>
      </c>
      <c r="K61" s="115">
        <v>2</v>
      </c>
      <c r="L61" s="276">
        <v>199.06</v>
      </c>
      <c r="M61" s="277">
        <f t="shared" si="0"/>
        <v>4032</v>
      </c>
      <c r="N61" s="276">
        <f t="shared" si="1"/>
        <v>802609.92</v>
      </c>
      <c r="O61" s="115">
        <v>4130</v>
      </c>
      <c r="P61" s="276">
        <v>1054554.2</v>
      </c>
      <c r="Q61" s="115"/>
      <c r="R61" s="276"/>
      <c r="S61" s="115"/>
      <c r="T61" s="276"/>
      <c r="U61" s="278" t="s">
        <v>112</v>
      </c>
      <c r="V61" s="115">
        <v>1583</v>
      </c>
      <c r="W61" s="114">
        <v>43082</v>
      </c>
      <c r="X61" s="115" t="s">
        <v>113</v>
      </c>
      <c r="Y61" s="221">
        <v>43109</v>
      </c>
      <c r="Z61" s="115" t="s">
        <v>110</v>
      </c>
      <c r="AA61" s="221">
        <v>43111</v>
      </c>
      <c r="AB61" s="22">
        <v>0</v>
      </c>
      <c r="AC61" s="170">
        <v>0</v>
      </c>
      <c r="AD61" s="208">
        <v>490</v>
      </c>
      <c r="AE61" s="170">
        <v>99068.2</v>
      </c>
      <c r="AF61" s="208"/>
      <c r="AG61" s="170"/>
      <c r="AH61" s="208"/>
      <c r="AI61" s="170"/>
      <c r="AJ61" s="232"/>
      <c r="AK61" s="170">
        <f t="shared" si="5"/>
        <v>99068.2</v>
      </c>
      <c r="AL61" s="270">
        <f>135+130+130</f>
        <v>395</v>
      </c>
      <c r="AM61" s="170">
        <f>AL61*AR61</f>
        <v>79861.100000000006</v>
      </c>
      <c r="AN61" s="270">
        <v>95</v>
      </c>
      <c r="AO61" s="170">
        <f t="shared" si="2"/>
        <v>19207.099999999991</v>
      </c>
      <c r="AP61" s="233"/>
      <c r="AQ61" s="233"/>
      <c r="AR61" s="170">
        <v>202.18</v>
      </c>
      <c r="AS61" s="170">
        <f t="shared" si="3"/>
        <v>0</v>
      </c>
      <c r="AT61" s="247">
        <f t="shared" si="6"/>
        <v>0</v>
      </c>
      <c r="AU61" s="386">
        <f t="shared" si="4"/>
        <v>0</v>
      </c>
      <c r="AV61" s="233">
        <v>0</v>
      </c>
    </row>
    <row r="62" spans="1:48" s="62" customFormat="1" ht="27" hidden="1" customHeight="1">
      <c r="A62" s="59"/>
      <c r="B62" s="60"/>
      <c r="C62" s="60"/>
      <c r="D62" s="22"/>
      <c r="E62" s="79" t="s">
        <v>24</v>
      </c>
      <c r="F62" s="51" t="s">
        <v>52</v>
      </c>
      <c r="G62" s="275" t="s">
        <v>111</v>
      </c>
      <c r="H62" s="115" t="s">
        <v>91</v>
      </c>
      <c r="I62" s="115" t="s">
        <v>91</v>
      </c>
      <c r="J62" s="115"/>
      <c r="K62" s="115"/>
      <c r="L62" s="276"/>
      <c r="M62" s="277">
        <f t="shared" si="0"/>
        <v>0</v>
      </c>
      <c r="N62" s="276">
        <f t="shared" si="1"/>
        <v>0</v>
      </c>
      <c r="O62" s="115"/>
      <c r="P62" s="276"/>
      <c r="Q62" s="115"/>
      <c r="R62" s="276"/>
      <c r="S62" s="115"/>
      <c r="T62" s="276"/>
      <c r="U62" s="278" t="s">
        <v>112</v>
      </c>
      <c r="V62" s="115">
        <v>1745</v>
      </c>
      <c r="W62" s="114">
        <v>43096</v>
      </c>
      <c r="X62" s="115" t="s">
        <v>117</v>
      </c>
      <c r="Y62" s="221">
        <v>43109</v>
      </c>
      <c r="Z62" s="115" t="s">
        <v>118</v>
      </c>
      <c r="AA62" s="221">
        <v>43133</v>
      </c>
      <c r="AB62" s="22">
        <v>0</v>
      </c>
      <c r="AC62" s="170">
        <v>0</v>
      </c>
      <c r="AD62" s="208">
        <v>195</v>
      </c>
      <c r="AE62" s="170">
        <v>39425.1</v>
      </c>
      <c r="AF62" s="208"/>
      <c r="AG62" s="170"/>
      <c r="AH62" s="208"/>
      <c r="AI62" s="170"/>
      <c r="AJ62" s="232"/>
      <c r="AK62" s="170">
        <f t="shared" si="5"/>
        <v>39425.1</v>
      </c>
      <c r="AL62" s="270">
        <v>0</v>
      </c>
      <c r="AM62" s="170">
        <v>0</v>
      </c>
      <c r="AN62" s="270">
        <v>195</v>
      </c>
      <c r="AO62" s="170">
        <f t="shared" si="2"/>
        <v>39425.1</v>
      </c>
      <c r="AP62" s="233"/>
      <c r="AQ62" s="233"/>
      <c r="AR62" s="170">
        <v>202.18</v>
      </c>
      <c r="AS62" s="170">
        <f t="shared" si="3"/>
        <v>0</v>
      </c>
      <c r="AT62" s="247">
        <f t="shared" si="6"/>
        <v>0</v>
      </c>
      <c r="AU62" s="386">
        <f t="shared" si="4"/>
        <v>0</v>
      </c>
      <c r="AV62" s="233">
        <v>0</v>
      </c>
    </row>
    <row r="63" spans="1:48" s="62" customFormat="1" ht="27" customHeight="1">
      <c r="A63" s="59"/>
      <c r="B63" s="60"/>
      <c r="C63" s="60"/>
      <c r="D63" s="22"/>
      <c r="E63" s="79"/>
      <c r="F63" s="177" t="s">
        <v>44</v>
      </c>
      <c r="G63" s="222" t="s">
        <v>116</v>
      </c>
      <c r="H63" s="115"/>
      <c r="I63" s="115"/>
      <c r="J63" s="115"/>
      <c r="K63" s="115"/>
      <c r="L63" s="276"/>
      <c r="M63" s="277"/>
      <c r="N63" s="276"/>
      <c r="O63" s="115"/>
      <c r="P63" s="276"/>
      <c r="Q63" s="115"/>
      <c r="R63" s="276"/>
      <c r="S63" s="115"/>
      <c r="T63" s="276"/>
      <c r="U63" s="203" t="s">
        <v>338</v>
      </c>
      <c r="V63" s="115"/>
      <c r="W63" s="114"/>
      <c r="X63" s="115"/>
      <c r="Y63" s="221"/>
      <c r="Z63" s="115"/>
      <c r="AA63" s="221"/>
      <c r="AB63" s="22"/>
      <c r="AC63" s="170"/>
      <c r="AD63" s="208"/>
      <c r="AE63" s="170"/>
      <c r="AF63" s="208"/>
      <c r="AG63" s="170"/>
      <c r="AH63" s="208"/>
      <c r="AI63" s="170"/>
      <c r="AJ63" s="232">
        <v>360</v>
      </c>
      <c r="AK63" s="170"/>
      <c r="AL63" s="270"/>
      <c r="AM63" s="170"/>
      <c r="AN63" s="270"/>
      <c r="AO63" s="170"/>
      <c r="AP63" s="233"/>
      <c r="AQ63" s="233"/>
      <c r="AR63" s="170"/>
      <c r="AS63" s="170"/>
      <c r="AT63" s="247">
        <f t="shared" si="6"/>
        <v>360</v>
      </c>
      <c r="AU63" s="386"/>
      <c r="AV63" s="279">
        <v>360</v>
      </c>
    </row>
    <row r="64" spans="1:48" s="62" customFormat="1" ht="26.25" hidden="1" customHeight="1">
      <c r="A64" s="59"/>
      <c r="B64" s="60"/>
      <c r="C64" s="60"/>
      <c r="D64" s="22"/>
      <c r="E64" s="79" t="s">
        <v>24</v>
      </c>
      <c r="F64" s="51" t="s">
        <v>65</v>
      </c>
      <c r="G64" s="275" t="s">
        <v>111</v>
      </c>
      <c r="H64" s="115" t="s">
        <v>91</v>
      </c>
      <c r="I64" s="115" t="s">
        <v>91</v>
      </c>
      <c r="J64" s="115"/>
      <c r="K64" s="115"/>
      <c r="L64" s="276"/>
      <c r="M64" s="277">
        <f t="shared" si="0"/>
        <v>0</v>
      </c>
      <c r="N64" s="276">
        <f t="shared" si="1"/>
        <v>0</v>
      </c>
      <c r="O64" s="115"/>
      <c r="P64" s="276"/>
      <c r="Q64" s="115"/>
      <c r="R64" s="276"/>
      <c r="S64" s="115"/>
      <c r="T64" s="276"/>
      <c r="U64" s="278" t="s">
        <v>133</v>
      </c>
      <c r="V64" s="115">
        <v>234</v>
      </c>
      <c r="W64" s="114">
        <v>43143</v>
      </c>
      <c r="X64" s="115" t="s">
        <v>143</v>
      </c>
      <c r="Y64" s="221">
        <v>43164</v>
      </c>
      <c r="Z64" s="115"/>
      <c r="AA64" s="115"/>
      <c r="AB64" s="22">
        <v>0</v>
      </c>
      <c r="AC64" s="170">
        <v>0</v>
      </c>
      <c r="AD64" s="208">
        <v>320</v>
      </c>
      <c r="AE64" s="170">
        <v>64697.599999999999</v>
      </c>
      <c r="AF64" s="208"/>
      <c r="AG64" s="170"/>
      <c r="AH64" s="208"/>
      <c r="AI64" s="170"/>
      <c r="AJ64" s="233"/>
      <c r="AK64" s="170">
        <f t="shared" si="5"/>
        <v>64697.599999999999</v>
      </c>
      <c r="AL64" s="270">
        <v>0</v>
      </c>
      <c r="AM64" s="170">
        <v>0</v>
      </c>
      <c r="AN64" s="270">
        <v>320</v>
      </c>
      <c r="AO64" s="170">
        <f t="shared" si="2"/>
        <v>64697.599999999999</v>
      </c>
      <c r="AP64" s="233"/>
      <c r="AQ64" s="233"/>
      <c r="AR64" s="170">
        <v>202.18</v>
      </c>
      <c r="AS64" s="170">
        <f t="shared" si="3"/>
        <v>0</v>
      </c>
      <c r="AT64" s="233">
        <f t="shared" si="6"/>
        <v>0</v>
      </c>
      <c r="AU64" s="386">
        <f t="shared" si="4"/>
        <v>0</v>
      </c>
      <c r="AV64" s="233">
        <v>0</v>
      </c>
    </row>
    <row r="65" spans="1:49" s="62" customFormat="1" ht="26.25" hidden="1" customHeight="1">
      <c r="A65" s="59"/>
      <c r="B65" s="60"/>
      <c r="C65" s="60"/>
      <c r="D65" s="22"/>
      <c r="E65" s="79" t="s">
        <v>24</v>
      </c>
      <c r="F65" s="51" t="s">
        <v>65</v>
      </c>
      <c r="G65" s="275" t="s">
        <v>111</v>
      </c>
      <c r="H65" s="115" t="s">
        <v>91</v>
      </c>
      <c r="I65" s="115" t="s">
        <v>91</v>
      </c>
      <c r="J65" s="115"/>
      <c r="K65" s="115"/>
      <c r="L65" s="276"/>
      <c r="M65" s="277">
        <f t="shared" si="0"/>
        <v>0</v>
      </c>
      <c r="N65" s="276">
        <f t="shared" si="1"/>
        <v>0</v>
      </c>
      <c r="O65" s="115"/>
      <c r="P65" s="276"/>
      <c r="Q65" s="115"/>
      <c r="R65" s="276"/>
      <c r="S65" s="115"/>
      <c r="T65" s="276"/>
      <c r="U65" s="278" t="s">
        <v>132</v>
      </c>
      <c r="V65" s="115">
        <v>234</v>
      </c>
      <c r="W65" s="114">
        <v>43143</v>
      </c>
      <c r="X65" s="115" t="s">
        <v>143</v>
      </c>
      <c r="Y65" s="221">
        <v>43164</v>
      </c>
      <c r="Z65" s="115"/>
      <c r="AA65" s="115"/>
      <c r="AB65" s="22">
        <v>0</v>
      </c>
      <c r="AC65" s="170">
        <v>0</v>
      </c>
      <c r="AD65" s="208">
        <v>15</v>
      </c>
      <c r="AE65" s="170">
        <v>3032.7</v>
      </c>
      <c r="AF65" s="208"/>
      <c r="AG65" s="170"/>
      <c r="AH65" s="208"/>
      <c r="AI65" s="170"/>
      <c r="AJ65" s="233"/>
      <c r="AK65" s="170">
        <f t="shared" si="5"/>
        <v>3032.7</v>
      </c>
      <c r="AL65" s="270">
        <v>0</v>
      </c>
      <c r="AM65" s="170">
        <v>0</v>
      </c>
      <c r="AN65" s="270">
        <v>15</v>
      </c>
      <c r="AO65" s="170">
        <f t="shared" si="2"/>
        <v>3032.7</v>
      </c>
      <c r="AP65" s="233"/>
      <c r="AQ65" s="233"/>
      <c r="AR65" s="170">
        <v>202.18</v>
      </c>
      <c r="AS65" s="170">
        <f t="shared" si="3"/>
        <v>0</v>
      </c>
      <c r="AT65" s="233">
        <f t="shared" si="6"/>
        <v>0</v>
      </c>
      <c r="AU65" s="386">
        <f t="shared" si="4"/>
        <v>0</v>
      </c>
      <c r="AV65" s="233">
        <v>0</v>
      </c>
      <c r="AW65" s="517" t="s">
        <v>287</v>
      </c>
    </row>
    <row r="66" spans="1:49" s="62" customFormat="1" ht="27" hidden="1" customHeight="1">
      <c r="A66" s="59"/>
      <c r="B66" s="60"/>
      <c r="C66" s="60"/>
      <c r="D66" s="22"/>
      <c r="E66" s="79" t="s">
        <v>24</v>
      </c>
      <c r="F66" s="51" t="s">
        <v>65</v>
      </c>
      <c r="G66" s="275" t="s">
        <v>111</v>
      </c>
      <c r="H66" s="115" t="s">
        <v>91</v>
      </c>
      <c r="I66" s="115" t="s">
        <v>91</v>
      </c>
      <c r="J66" s="115"/>
      <c r="K66" s="115"/>
      <c r="L66" s="276"/>
      <c r="M66" s="277">
        <f t="shared" si="0"/>
        <v>0</v>
      </c>
      <c r="N66" s="276">
        <f t="shared" si="1"/>
        <v>0</v>
      </c>
      <c r="O66" s="115"/>
      <c r="P66" s="276"/>
      <c r="Q66" s="115"/>
      <c r="R66" s="276"/>
      <c r="S66" s="115"/>
      <c r="T66" s="276"/>
      <c r="U66" s="278" t="s">
        <v>133</v>
      </c>
      <c r="V66" s="115">
        <v>356</v>
      </c>
      <c r="W66" s="114">
        <v>43159</v>
      </c>
      <c r="X66" s="115" t="s">
        <v>136</v>
      </c>
      <c r="Y66" s="221">
        <v>43164</v>
      </c>
      <c r="Z66" s="115"/>
      <c r="AA66" s="115"/>
      <c r="AB66" s="22">
        <v>0</v>
      </c>
      <c r="AC66" s="170">
        <v>0</v>
      </c>
      <c r="AD66" s="208">
        <v>170</v>
      </c>
      <c r="AE66" s="170">
        <v>34370.6</v>
      </c>
      <c r="AF66" s="208"/>
      <c r="AG66" s="170"/>
      <c r="AH66" s="208"/>
      <c r="AI66" s="170"/>
      <c r="AJ66" s="233"/>
      <c r="AK66" s="170">
        <f t="shared" si="5"/>
        <v>34370.6</v>
      </c>
      <c r="AL66" s="270">
        <v>0</v>
      </c>
      <c r="AM66" s="170">
        <v>0</v>
      </c>
      <c r="AN66" s="270">
        <v>170</v>
      </c>
      <c r="AO66" s="170">
        <f t="shared" si="2"/>
        <v>34370.6</v>
      </c>
      <c r="AP66" s="233"/>
      <c r="AQ66" s="233"/>
      <c r="AR66" s="170">
        <v>202.18</v>
      </c>
      <c r="AS66" s="170">
        <f t="shared" si="3"/>
        <v>0</v>
      </c>
      <c r="AT66" s="233">
        <f t="shared" si="6"/>
        <v>0</v>
      </c>
      <c r="AU66" s="386">
        <f t="shared" si="4"/>
        <v>0</v>
      </c>
      <c r="AV66" s="233">
        <v>0</v>
      </c>
    </row>
    <row r="67" spans="1:49" s="62" customFormat="1" ht="27" customHeight="1">
      <c r="A67" s="59"/>
      <c r="B67" s="60"/>
      <c r="C67" s="60"/>
      <c r="D67" s="22"/>
      <c r="E67" s="79" t="s">
        <v>24</v>
      </c>
      <c r="F67" s="51" t="s">
        <v>374</v>
      </c>
      <c r="G67" s="275" t="s">
        <v>111</v>
      </c>
      <c r="H67" s="115" t="s">
        <v>91</v>
      </c>
      <c r="I67" s="115" t="s">
        <v>91</v>
      </c>
      <c r="J67" s="115"/>
      <c r="K67" s="115"/>
      <c r="L67" s="276"/>
      <c r="M67" s="277">
        <f t="shared" si="0"/>
        <v>0</v>
      </c>
      <c r="N67" s="276">
        <f t="shared" si="1"/>
        <v>0</v>
      </c>
      <c r="O67" s="115"/>
      <c r="P67" s="276"/>
      <c r="Q67" s="115"/>
      <c r="R67" s="276"/>
      <c r="S67" s="115"/>
      <c r="T67" s="276"/>
      <c r="U67" s="278" t="s">
        <v>133</v>
      </c>
      <c r="V67" s="115">
        <v>260</v>
      </c>
      <c r="W67" s="114">
        <v>43145</v>
      </c>
      <c r="X67" s="115" t="s">
        <v>94</v>
      </c>
      <c r="Y67" s="221">
        <v>43164</v>
      </c>
      <c r="Z67" s="115"/>
      <c r="AA67" s="115"/>
      <c r="AB67" s="22">
        <v>0</v>
      </c>
      <c r="AC67" s="170">
        <v>0</v>
      </c>
      <c r="AD67" s="208">
        <v>665</v>
      </c>
      <c r="AE67" s="170">
        <v>134449.70000000001</v>
      </c>
      <c r="AF67" s="208"/>
      <c r="AG67" s="170"/>
      <c r="AH67" s="208"/>
      <c r="AI67" s="170"/>
      <c r="AJ67" s="233"/>
      <c r="AK67" s="170">
        <f t="shared" si="5"/>
        <v>134449.70000000001</v>
      </c>
      <c r="AL67" s="270">
        <v>0</v>
      </c>
      <c r="AM67" s="170">
        <v>0</v>
      </c>
      <c r="AN67" s="270">
        <v>665</v>
      </c>
      <c r="AO67" s="170">
        <f t="shared" si="2"/>
        <v>134449.70000000001</v>
      </c>
      <c r="AP67" s="233"/>
      <c r="AQ67" s="233"/>
      <c r="AR67" s="170">
        <v>202.18</v>
      </c>
      <c r="AS67" s="170">
        <f t="shared" si="3"/>
        <v>0</v>
      </c>
      <c r="AT67" s="233">
        <f t="shared" si="6"/>
        <v>0</v>
      </c>
      <c r="AU67" s="386">
        <f t="shared" si="4"/>
        <v>0</v>
      </c>
      <c r="AV67" s="233">
        <v>0</v>
      </c>
    </row>
    <row r="68" spans="1:49" s="62" customFormat="1" ht="26.25" hidden="1" customHeight="1">
      <c r="A68" s="59"/>
      <c r="B68" s="60"/>
      <c r="C68" s="60"/>
      <c r="D68" s="22"/>
      <c r="E68" s="79" t="s">
        <v>24</v>
      </c>
      <c r="F68" s="51" t="s">
        <v>374</v>
      </c>
      <c r="G68" s="275" t="s">
        <v>111</v>
      </c>
      <c r="H68" s="115" t="s">
        <v>91</v>
      </c>
      <c r="I68" s="115" t="s">
        <v>91</v>
      </c>
      <c r="J68" s="115"/>
      <c r="K68" s="115"/>
      <c r="L68" s="276"/>
      <c r="M68" s="277">
        <f t="shared" si="0"/>
        <v>0</v>
      </c>
      <c r="N68" s="276">
        <f t="shared" si="1"/>
        <v>0</v>
      </c>
      <c r="O68" s="115"/>
      <c r="P68" s="276"/>
      <c r="Q68" s="115"/>
      <c r="R68" s="276"/>
      <c r="S68" s="115"/>
      <c r="T68" s="276"/>
      <c r="U68" s="278" t="s">
        <v>124</v>
      </c>
      <c r="V68" s="115">
        <v>68</v>
      </c>
      <c r="W68" s="114">
        <v>43116</v>
      </c>
      <c r="X68" s="115" t="s">
        <v>125</v>
      </c>
      <c r="Y68" s="221">
        <v>43130</v>
      </c>
      <c r="Z68" s="115"/>
      <c r="AA68" s="115"/>
      <c r="AB68" s="22">
        <v>0</v>
      </c>
      <c r="AC68" s="170">
        <v>0</v>
      </c>
      <c r="AD68" s="208">
        <v>335</v>
      </c>
      <c r="AE68" s="170">
        <v>67730.3</v>
      </c>
      <c r="AF68" s="208"/>
      <c r="AG68" s="170"/>
      <c r="AH68" s="208"/>
      <c r="AI68" s="170"/>
      <c r="AJ68" s="233"/>
      <c r="AK68" s="170">
        <f t="shared" si="5"/>
        <v>67730.3</v>
      </c>
      <c r="AL68" s="270">
        <v>0</v>
      </c>
      <c r="AM68" s="170">
        <v>0</v>
      </c>
      <c r="AN68" s="270">
        <v>335</v>
      </c>
      <c r="AO68" s="170">
        <f t="shared" si="2"/>
        <v>67730.3</v>
      </c>
      <c r="AP68" s="233"/>
      <c r="AQ68" s="233"/>
      <c r="AR68" s="170">
        <v>202.18</v>
      </c>
      <c r="AS68" s="170">
        <f t="shared" si="3"/>
        <v>0</v>
      </c>
      <c r="AT68" s="233">
        <f t="shared" si="6"/>
        <v>0</v>
      </c>
      <c r="AU68" s="386">
        <f t="shared" si="4"/>
        <v>0</v>
      </c>
      <c r="AV68" s="233">
        <v>0</v>
      </c>
    </row>
    <row r="69" spans="1:49" s="62" customFormat="1" ht="26.25" hidden="1" customHeight="1">
      <c r="A69" s="59"/>
      <c r="B69" s="60"/>
      <c r="C69" s="60"/>
      <c r="D69" s="22"/>
      <c r="E69" s="79" t="s">
        <v>24</v>
      </c>
      <c r="F69" s="51" t="s">
        <v>374</v>
      </c>
      <c r="G69" s="275" t="s">
        <v>111</v>
      </c>
      <c r="H69" s="115" t="s">
        <v>91</v>
      </c>
      <c r="I69" s="115" t="s">
        <v>91</v>
      </c>
      <c r="J69" s="115"/>
      <c r="K69" s="115"/>
      <c r="L69" s="276"/>
      <c r="M69" s="277">
        <f t="shared" si="0"/>
        <v>0</v>
      </c>
      <c r="N69" s="276">
        <f t="shared" si="1"/>
        <v>0</v>
      </c>
      <c r="O69" s="115"/>
      <c r="P69" s="276"/>
      <c r="Q69" s="115"/>
      <c r="R69" s="276"/>
      <c r="S69" s="115"/>
      <c r="T69" s="276"/>
      <c r="U69" s="278" t="s">
        <v>124</v>
      </c>
      <c r="V69" s="115">
        <v>135</v>
      </c>
      <c r="W69" s="114">
        <v>42761</v>
      </c>
      <c r="X69" s="115" t="s">
        <v>126</v>
      </c>
      <c r="Y69" s="221">
        <v>43130</v>
      </c>
      <c r="Z69" s="115"/>
      <c r="AA69" s="115"/>
      <c r="AB69" s="22">
        <v>0</v>
      </c>
      <c r="AC69" s="170">
        <v>0</v>
      </c>
      <c r="AD69" s="208">
        <v>155</v>
      </c>
      <c r="AE69" s="170">
        <v>31337.9</v>
      </c>
      <c r="AF69" s="208"/>
      <c r="AG69" s="170"/>
      <c r="AH69" s="208"/>
      <c r="AI69" s="170"/>
      <c r="AJ69" s="233"/>
      <c r="AK69" s="170">
        <f t="shared" si="5"/>
        <v>31337.9</v>
      </c>
      <c r="AL69" s="270">
        <v>0</v>
      </c>
      <c r="AM69" s="170">
        <v>0</v>
      </c>
      <c r="AN69" s="270">
        <v>155</v>
      </c>
      <c r="AO69" s="170">
        <f t="shared" si="2"/>
        <v>31337.9</v>
      </c>
      <c r="AP69" s="233"/>
      <c r="AQ69" s="233"/>
      <c r="AR69" s="170">
        <v>202.18</v>
      </c>
      <c r="AS69" s="170">
        <f t="shared" si="3"/>
        <v>0</v>
      </c>
      <c r="AT69" s="233">
        <f t="shared" si="6"/>
        <v>0</v>
      </c>
      <c r="AU69" s="386">
        <f t="shared" si="4"/>
        <v>0</v>
      </c>
      <c r="AV69" s="233">
        <v>0</v>
      </c>
    </row>
    <row r="70" spans="1:49" s="62" customFormat="1" ht="26.25" customHeight="1">
      <c r="A70" s="59"/>
      <c r="B70" s="60"/>
      <c r="C70" s="60"/>
      <c r="D70" s="22"/>
      <c r="E70" s="79" t="s">
        <v>24</v>
      </c>
      <c r="F70" s="51" t="s">
        <v>374</v>
      </c>
      <c r="G70" s="275" t="s">
        <v>111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/>
      <c r="P70" s="276"/>
      <c r="Q70" s="115"/>
      <c r="R70" s="276"/>
      <c r="S70" s="115"/>
      <c r="T70" s="276"/>
      <c r="U70" s="278" t="s">
        <v>132</v>
      </c>
      <c r="V70" s="115">
        <v>108</v>
      </c>
      <c r="W70" s="114">
        <v>43119</v>
      </c>
      <c r="X70" s="115" t="s">
        <v>131</v>
      </c>
      <c r="Y70" s="221">
        <v>43130</v>
      </c>
      <c r="Z70" s="115"/>
      <c r="AA70" s="115"/>
      <c r="AB70" s="22">
        <v>0</v>
      </c>
      <c r="AC70" s="170">
        <v>0</v>
      </c>
      <c r="AD70" s="208">
        <v>340</v>
      </c>
      <c r="AE70" s="170">
        <v>68741.2</v>
      </c>
      <c r="AF70" s="208"/>
      <c r="AG70" s="170"/>
      <c r="AH70" s="208"/>
      <c r="AI70" s="170"/>
      <c r="AJ70" s="233"/>
      <c r="AK70" s="170">
        <f t="shared" si="5"/>
        <v>68741.2</v>
      </c>
      <c r="AL70" s="270">
        <v>0</v>
      </c>
      <c r="AM70" s="170">
        <v>0</v>
      </c>
      <c r="AN70" s="270">
        <v>340</v>
      </c>
      <c r="AO70" s="170">
        <f t="shared" si="2"/>
        <v>68741.2</v>
      </c>
      <c r="AP70" s="233"/>
      <c r="AQ70" s="233"/>
      <c r="AR70" s="170">
        <v>202.18</v>
      </c>
      <c r="AS70" s="170">
        <f t="shared" si="3"/>
        <v>0</v>
      </c>
      <c r="AT70" s="233">
        <f t="shared" si="6"/>
        <v>0</v>
      </c>
      <c r="AU70" s="386">
        <f t="shared" si="4"/>
        <v>0</v>
      </c>
      <c r="AV70" s="233">
        <v>0</v>
      </c>
    </row>
    <row r="71" spans="1:49" s="62" customFormat="1" ht="26.25" customHeight="1">
      <c r="A71" s="59"/>
      <c r="B71" s="60"/>
      <c r="C71" s="60"/>
      <c r="D71" s="22"/>
      <c r="E71" s="79" t="s">
        <v>24</v>
      </c>
      <c r="F71" s="51" t="s">
        <v>374</v>
      </c>
      <c r="G71" s="275" t="s">
        <v>111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161</v>
      </c>
      <c r="V71" s="115">
        <v>659</v>
      </c>
      <c r="W71" s="114">
        <v>43201</v>
      </c>
      <c r="X71" s="115" t="s">
        <v>159</v>
      </c>
      <c r="Y71" s="221">
        <v>43213</v>
      </c>
      <c r="Z71" s="115" t="s">
        <v>160</v>
      </c>
      <c r="AA71" s="221">
        <v>43255</v>
      </c>
      <c r="AB71" s="22">
        <v>0</v>
      </c>
      <c r="AC71" s="170">
        <v>0</v>
      </c>
      <c r="AD71" s="208">
        <v>245</v>
      </c>
      <c r="AE71" s="170">
        <v>49534.1</v>
      </c>
      <c r="AF71" s="208"/>
      <c r="AG71" s="170"/>
      <c r="AH71" s="208"/>
      <c r="AI71" s="170"/>
      <c r="AJ71" s="233"/>
      <c r="AK71" s="170">
        <f t="shared" si="5"/>
        <v>49534.1</v>
      </c>
      <c r="AL71" s="270">
        <v>0</v>
      </c>
      <c r="AM71" s="170">
        <v>0</v>
      </c>
      <c r="AN71" s="270">
        <v>245</v>
      </c>
      <c r="AO71" s="170">
        <f t="shared" si="2"/>
        <v>49534.1</v>
      </c>
      <c r="AP71" s="233"/>
      <c r="AQ71" s="233"/>
      <c r="AR71" s="170">
        <v>202.18</v>
      </c>
      <c r="AS71" s="170">
        <f t="shared" si="3"/>
        <v>0</v>
      </c>
      <c r="AT71" s="233">
        <f t="shared" si="6"/>
        <v>0</v>
      </c>
      <c r="AU71" s="386">
        <f t="shared" si="4"/>
        <v>0</v>
      </c>
      <c r="AV71" s="233">
        <v>0</v>
      </c>
    </row>
    <row r="72" spans="1:49" s="62" customFormat="1" ht="26.25" customHeight="1">
      <c r="A72" s="59"/>
      <c r="B72" s="60"/>
      <c r="C72" s="60"/>
      <c r="D72" s="22"/>
      <c r="E72" s="79" t="s">
        <v>24</v>
      </c>
      <c r="F72" s="53" t="s">
        <v>65</v>
      </c>
      <c r="G72" s="222" t="s">
        <v>111</v>
      </c>
      <c r="H72" s="193" t="s">
        <v>91</v>
      </c>
      <c r="I72" s="193" t="s">
        <v>91</v>
      </c>
      <c r="J72" s="193"/>
      <c r="K72" s="193"/>
      <c r="L72" s="243"/>
      <c r="M72" s="242">
        <f t="shared" si="0"/>
        <v>0</v>
      </c>
      <c r="N72" s="243">
        <f t="shared" si="1"/>
        <v>0</v>
      </c>
      <c r="O72" s="193"/>
      <c r="P72" s="243"/>
      <c r="Q72" s="193"/>
      <c r="R72" s="243"/>
      <c r="S72" s="193"/>
      <c r="T72" s="243"/>
      <c r="U72" s="203" t="s">
        <v>161</v>
      </c>
      <c r="V72" s="115">
        <v>834</v>
      </c>
      <c r="W72" s="114">
        <v>43222</v>
      </c>
      <c r="X72" s="193" t="s">
        <v>162</v>
      </c>
      <c r="Y72" s="200">
        <v>43242</v>
      </c>
      <c r="Z72" s="193"/>
      <c r="AA72" s="193"/>
      <c r="AB72" s="22">
        <v>0</v>
      </c>
      <c r="AC72" s="170">
        <v>0</v>
      </c>
      <c r="AD72" s="209">
        <v>555</v>
      </c>
      <c r="AE72" s="194">
        <v>112209.9</v>
      </c>
      <c r="AF72" s="209"/>
      <c r="AG72" s="194"/>
      <c r="AH72" s="209"/>
      <c r="AI72" s="194"/>
      <c r="AJ72" s="232"/>
      <c r="AK72" s="170">
        <f t="shared" si="5"/>
        <v>112209.9</v>
      </c>
      <c r="AL72" s="272">
        <v>0</v>
      </c>
      <c r="AM72" s="212">
        <v>0</v>
      </c>
      <c r="AN72" s="269">
        <v>555</v>
      </c>
      <c r="AO72" s="217">
        <f t="shared" si="2"/>
        <v>112209.9</v>
      </c>
      <c r="AP72" s="232"/>
      <c r="AQ72" s="229"/>
      <c r="AR72" s="212">
        <v>202.18</v>
      </c>
      <c r="AS72" s="212">
        <f t="shared" si="3"/>
        <v>0</v>
      </c>
      <c r="AT72" s="247">
        <f t="shared" si="6"/>
        <v>350</v>
      </c>
      <c r="AU72" s="228">
        <f t="shared" si="4"/>
        <v>70763</v>
      </c>
      <c r="AV72" s="279">
        <v>350</v>
      </c>
    </row>
    <row r="73" spans="1:49" s="62" customFormat="1" ht="26.25" hidden="1" customHeight="1">
      <c r="A73" s="59"/>
      <c r="B73" s="60"/>
      <c r="C73" s="60"/>
      <c r="D73" s="22"/>
      <c r="E73" s="79" t="s">
        <v>24</v>
      </c>
      <c r="F73" s="51" t="s">
        <v>65</v>
      </c>
      <c r="G73" s="275" t="s">
        <v>111</v>
      </c>
      <c r="H73" s="115" t="s">
        <v>91</v>
      </c>
      <c r="I73" s="115" t="s">
        <v>91</v>
      </c>
      <c r="J73" s="115"/>
      <c r="K73" s="115"/>
      <c r="L73" s="276"/>
      <c r="M73" s="277">
        <f t="shared" si="0"/>
        <v>0</v>
      </c>
      <c r="N73" s="276">
        <f t="shared" si="1"/>
        <v>0</v>
      </c>
      <c r="O73" s="115"/>
      <c r="P73" s="276"/>
      <c r="Q73" s="115"/>
      <c r="R73" s="276"/>
      <c r="S73" s="115"/>
      <c r="T73" s="276"/>
      <c r="U73" s="278" t="s">
        <v>175</v>
      </c>
      <c r="V73" s="115">
        <v>1006</v>
      </c>
      <c r="W73" s="114">
        <v>43244</v>
      </c>
      <c r="X73" s="115" t="s">
        <v>179</v>
      </c>
      <c r="Y73" s="221">
        <v>43285</v>
      </c>
      <c r="Z73" s="115"/>
      <c r="AA73" s="115"/>
      <c r="AB73" s="22">
        <v>0</v>
      </c>
      <c r="AC73" s="170">
        <v>0</v>
      </c>
      <c r="AD73" s="208">
        <v>45</v>
      </c>
      <c r="AE73" s="170">
        <v>8820</v>
      </c>
      <c r="AF73" s="208"/>
      <c r="AG73" s="170"/>
      <c r="AH73" s="208"/>
      <c r="AI73" s="170"/>
      <c r="AJ73" s="233"/>
      <c r="AK73" s="170">
        <f t="shared" si="5"/>
        <v>8820</v>
      </c>
      <c r="AL73" s="270">
        <v>0</v>
      </c>
      <c r="AM73" s="170">
        <v>0</v>
      </c>
      <c r="AN73" s="270">
        <v>45</v>
      </c>
      <c r="AO73" s="170">
        <f t="shared" si="2"/>
        <v>8820</v>
      </c>
      <c r="AP73" s="233"/>
      <c r="AQ73" s="233"/>
      <c r="AR73" s="170">
        <v>196</v>
      </c>
      <c r="AS73" s="170">
        <f t="shared" si="3"/>
        <v>0</v>
      </c>
      <c r="AT73" s="247">
        <f t="shared" si="6"/>
        <v>0</v>
      </c>
      <c r="AU73" s="386">
        <f t="shared" si="4"/>
        <v>0</v>
      </c>
      <c r="AV73" s="233">
        <v>0</v>
      </c>
    </row>
    <row r="74" spans="1:49" s="62" customFormat="1" ht="26.25" hidden="1" customHeight="1">
      <c r="A74" s="59"/>
      <c r="B74" s="60"/>
      <c r="C74" s="60"/>
      <c r="D74" s="22"/>
      <c r="E74" s="79" t="s">
        <v>24</v>
      </c>
      <c r="F74" s="51" t="s">
        <v>65</v>
      </c>
      <c r="G74" s="275" t="s">
        <v>111</v>
      </c>
      <c r="H74" s="115" t="s">
        <v>91</v>
      </c>
      <c r="I74" s="115" t="s">
        <v>91</v>
      </c>
      <c r="J74" s="115"/>
      <c r="K74" s="115"/>
      <c r="L74" s="276"/>
      <c r="M74" s="277">
        <f t="shared" si="0"/>
        <v>0</v>
      </c>
      <c r="N74" s="276">
        <f t="shared" si="1"/>
        <v>0</v>
      </c>
      <c r="O74" s="115"/>
      <c r="P74" s="276"/>
      <c r="Q74" s="115"/>
      <c r="R74" s="276"/>
      <c r="S74" s="115"/>
      <c r="T74" s="276"/>
      <c r="U74" s="278" t="s">
        <v>175</v>
      </c>
      <c r="V74" s="115">
        <v>1006</v>
      </c>
      <c r="W74" s="114">
        <v>43244</v>
      </c>
      <c r="X74" s="115" t="s">
        <v>179</v>
      </c>
      <c r="Y74" s="221">
        <v>43285</v>
      </c>
      <c r="Z74" s="115"/>
      <c r="AA74" s="115"/>
      <c r="AB74" s="22">
        <v>0</v>
      </c>
      <c r="AC74" s="170">
        <v>0</v>
      </c>
      <c r="AD74" s="208">
        <v>55</v>
      </c>
      <c r="AE74" s="170">
        <v>11119.9</v>
      </c>
      <c r="AF74" s="208"/>
      <c r="AG74" s="170"/>
      <c r="AH74" s="208"/>
      <c r="AI74" s="170"/>
      <c r="AJ74" s="233"/>
      <c r="AK74" s="170">
        <f t="shared" si="5"/>
        <v>11119.9</v>
      </c>
      <c r="AL74" s="270">
        <v>0</v>
      </c>
      <c r="AM74" s="170">
        <v>0</v>
      </c>
      <c r="AN74" s="270">
        <v>55</v>
      </c>
      <c r="AO74" s="170">
        <f t="shared" si="2"/>
        <v>11119.9</v>
      </c>
      <c r="AP74" s="233"/>
      <c r="AQ74" s="233"/>
      <c r="AR74" s="170">
        <v>202.18</v>
      </c>
      <c r="AS74" s="170">
        <f t="shared" si="3"/>
        <v>0</v>
      </c>
      <c r="AT74" s="247">
        <f t="shared" si="6"/>
        <v>0</v>
      </c>
      <c r="AU74" s="386">
        <f t="shared" si="4"/>
        <v>0</v>
      </c>
      <c r="AV74" s="233">
        <v>0</v>
      </c>
    </row>
    <row r="75" spans="1:49" s="62" customFormat="1" ht="26.25" customHeight="1">
      <c r="A75" s="59"/>
      <c r="B75" s="60"/>
      <c r="C75" s="60"/>
      <c r="D75" s="22"/>
      <c r="E75" s="79" t="s">
        <v>24</v>
      </c>
      <c r="F75" s="53" t="s">
        <v>65</v>
      </c>
      <c r="G75" s="222" t="s">
        <v>111</v>
      </c>
      <c r="H75" s="193" t="s">
        <v>91</v>
      </c>
      <c r="I75" s="193" t="s">
        <v>91</v>
      </c>
      <c r="J75" s="193"/>
      <c r="K75" s="193"/>
      <c r="L75" s="243"/>
      <c r="M75" s="242">
        <f t="shared" si="0"/>
        <v>0</v>
      </c>
      <c r="N75" s="243">
        <f t="shared" si="1"/>
        <v>0</v>
      </c>
      <c r="O75" s="193"/>
      <c r="P75" s="243"/>
      <c r="Q75" s="193"/>
      <c r="R75" s="243"/>
      <c r="S75" s="193"/>
      <c r="T75" s="243"/>
      <c r="U75" s="203" t="s">
        <v>175</v>
      </c>
      <c r="V75" s="115">
        <v>877</v>
      </c>
      <c r="W75" s="114">
        <v>43230</v>
      </c>
      <c r="X75" s="193" t="s">
        <v>174</v>
      </c>
      <c r="Y75" s="200">
        <v>43285</v>
      </c>
      <c r="Z75" s="193"/>
      <c r="AA75" s="193"/>
      <c r="AB75" s="22">
        <v>0</v>
      </c>
      <c r="AC75" s="170">
        <v>0</v>
      </c>
      <c r="AD75" s="209">
        <v>210</v>
      </c>
      <c r="AE75" s="194">
        <v>42457.8</v>
      </c>
      <c r="AF75" s="209"/>
      <c r="AG75" s="194"/>
      <c r="AH75" s="209"/>
      <c r="AI75" s="194"/>
      <c r="AJ75" s="232"/>
      <c r="AK75" s="170">
        <f t="shared" si="5"/>
        <v>42457.8</v>
      </c>
      <c r="AL75" s="272">
        <v>0</v>
      </c>
      <c r="AM75" s="212">
        <v>0</v>
      </c>
      <c r="AN75" s="269">
        <v>210</v>
      </c>
      <c r="AO75" s="217">
        <f t="shared" si="2"/>
        <v>42457.8</v>
      </c>
      <c r="AP75" s="232"/>
      <c r="AQ75" s="229"/>
      <c r="AR75" s="212">
        <v>202.18</v>
      </c>
      <c r="AS75" s="212">
        <f t="shared" si="3"/>
        <v>0</v>
      </c>
      <c r="AT75" s="247">
        <f t="shared" si="6"/>
        <v>210</v>
      </c>
      <c r="AU75" s="228">
        <f t="shared" si="4"/>
        <v>42457.8</v>
      </c>
      <c r="AV75" s="279">
        <v>210</v>
      </c>
    </row>
    <row r="76" spans="1:49" s="62" customFormat="1" ht="26.25" customHeight="1">
      <c r="A76" s="59"/>
      <c r="B76" s="60"/>
      <c r="C76" s="60"/>
      <c r="D76" s="22"/>
      <c r="E76" s="79" t="s">
        <v>24</v>
      </c>
      <c r="F76" s="53" t="s">
        <v>65</v>
      </c>
      <c r="G76" s="222" t="s">
        <v>111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161</v>
      </c>
      <c r="V76" s="115">
        <v>1053</v>
      </c>
      <c r="W76" s="114">
        <v>43255</v>
      </c>
      <c r="X76" s="193" t="s">
        <v>177</v>
      </c>
      <c r="Y76" s="200">
        <v>43285</v>
      </c>
      <c r="Z76" s="193" t="s">
        <v>178</v>
      </c>
      <c r="AA76" s="200">
        <v>43269</v>
      </c>
      <c r="AB76" s="22">
        <v>0</v>
      </c>
      <c r="AC76" s="170">
        <v>0</v>
      </c>
      <c r="AD76" s="209">
        <v>105</v>
      </c>
      <c r="AE76" s="194">
        <v>21228.9</v>
      </c>
      <c r="AF76" s="209"/>
      <c r="AG76" s="194"/>
      <c r="AH76" s="209"/>
      <c r="AI76" s="194"/>
      <c r="AJ76" s="232"/>
      <c r="AK76" s="170">
        <f t="shared" si="5"/>
        <v>21228.9</v>
      </c>
      <c r="AL76" s="272">
        <v>0</v>
      </c>
      <c r="AM76" s="212">
        <v>0</v>
      </c>
      <c r="AN76" s="269">
        <v>105</v>
      </c>
      <c r="AO76" s="217">
        <f t="shared" si="2"/>
        <v>21228.9</v>
      </c>
      <c r="AP76" s="232"/>
      <c r="AQ76" s="229"/>
      <c r="AR76" s="212">
        <v>202.18</v>
      </c>
      <c r="AS76" s="212">
        <f t="shared" si="3"/>
        <v>0</v>
      </c>
      <c r="AT76" s="247">
        <f t="shared" si="6"/>
        <v>105</v>
      </c>
      <c r="AU76" s="228">
        <f t="shared" si="4"/>
        <v>21228.9</v>
      </c>
      <c r="AV76" s="279">
        <v>105</v>
      </c>
    </row>
    <row r="77" spans="1:49" s="62" customFormat="1" ht="26.25" customHeight="1">
      <c r="A77" s="59"/>
      <c r="B77" s="60"/>
      <c r="C77" s="60"/>
      <c r="D77" s="22"/>
      <c r="E77" s="79" t="s">
        <v>24</v>
      </c>
      <c r="F77" s="53" t="s">
        <v>65</v>
      </c>
      <c r="G77" s="222" t="s">
        <v>111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187</v>
      </c>
      <c r="V77" s="115">
        <v>1418</v>
      </c>
      <c r="W77" s="114">
        <v>43312</v>
      </c>
      <c r="X77" s="193" t="s">
        <v>184</v>
      </c>
      <c r="Y77" s="200">
        <v>43332</v>
      </c>
      <c r="Z77" s="193" t="s">
        <v>185</v>
      </c>
      <c r="AA77" s="200">
        <v>43320</v>
      </c>
      <c r="AB77" s="22">
        <v>0</v>
      </c>
      <c r="AC77" s="170">
        <v>0</v>
      </c>
      <c r="AD77" s="209">
        <v>30</v>
      </c>
      <c r="AE77" s="194">
        <v>5880</v>
      </c>
      <c r="AF77" s="209"/>
      <c r="AG77" s="194"/>
      <c r="AH77" s="209"/>
      <c r="AI77" s="194"/>
      <c r="AJ77" s="232"/>
      <c r="AK77" s="170">
        <f t="shared" si="5"/>
        <v>5880</v>
      </c>
      <c r="AL77" s="272">
        <v>0</v>
      </c>
      <c r="AM77" s="212">
        <v>0</v>
      </c>
      <c r="AN77" s="269">
        <v>30</v>
      </c>
      <c r="AO77" s="217">
        <v>0</v>
      </c>
      <c r="AP77" s="232"/>
      <c r="AQ77" s="229"/>
      <c r="AR77" s="212">
        <v>196</v>
      </c>
      <c r="AS77" s="212">
        <f t="shared" si="3"/>
        <v>0</v>
      </c>
      <c r="AT77" s="247">
        <f t="shared" si="6"/>
        <v>30</v>
      </c>
      <c r="AU77" s="228">
        <f t="shared" si="4"/>
        <v>5880</v>
      </c>
      <c r="AV77" s="279">
        <v>30</v>
      </c>
    </row>
    <row r="78" spans="1:49" s="62" customFormat="1" ht="26.25" customHeight="1">
      <c r="A78" s="59"/>
      <c r="B78" s="60"/>
      <c r="C78" s="60"/>
      <c r="D78" s="22"/>
      <c r="E78" s="79"/>
      <c r="F78" s="53" t="s">
        <v>65</v>
      </c>
      <c r="G78" s="222" t="s">
        <v>111</v>
      </c>
      <c r="H78" s="193"/>
      <c r="I78" s="193"/>
      <c r="J78" s="193"/>
      <c r="K78" s="193"/>
      <c r="L78" s="243"/>
      <c r="M78" s="242"/>
      <c r="N78" s="243"/>
      <c r="O78" s="193"/>
      <c r="P78" s="243"/>
      <c r="Q78" s="193"/>
      <c r="R78" s="243"/>
      <c r="S78" s="193"/>
      <c r="T78" s="243"/>
      <c r="U78" s="203"/>
      <c r="V78" s="115"/>
      <c r="W78" s="114"/>
      <c r="X78" s="193"/>
      <c r="Y78" s="200"/>
      <c r="Z78" s="193"/>
      <c r="AA78" s="200"/>
      <c r="AB78" s="22"/>
      <c r="AC78" s="170"/>
      <c r="AD78" s="209"/>
      <c r="AE78" s="194"/>
      <c r="AF78" s="209"/>
      <c r="AG78" s="194"/>
      <c r="AH78" s="209"/>
      <c r="AI78" s="194"/>
      <c r="AJ78" s="232"/>
      <c r="AK78" s="170"/>
      <c r="AL78" s="272"/>
      <c r="AM78" s="212"/>
      <c r="AN78" s="269"/>
      <c r="AO78" s="217"/>
      <c r="AP78" s="232"/>
      <c r="AQ78" s="229"/>
      <c r="AR78" s="212"/>
      <c r="AS78" s="212"/>
      <c r="AT78" s="247">
        <f t="shared" si="6"/>
        <v>30</v>
      </c>
      <c r="AU78" s="228"/>
      <c r="AV78" s="279">
        <v>30</v>
      </c>
    </row>
    <row r="79" spans="1:49" s="62" customFormat="1" ht="26.25" hidden="1" customHeight="1">
      <c r="A79" s="59"/>
      <c r="B79" s="60"/>
      <c r="C79" s="60"/>
      <c r="D79" s="22"/>
      <c r="E79" s="79" t="s">
        <v>24</v>
      </c>
      <c r="F79" s="51" t="s">
        <v>249</v>
      </c>
      <c r="G79" s="275" t="s">
        <v>146</v>
      </c>
      <c r="H79" s="115" t="s">
        <v>91</v>
      </c>
      <c r="I79" s="115" t="s">
        <v>91</v>
      </c>
      <c r="J79" s="115"/>
      <c r="K79" s="115"/>
      <c r="L79" s="276"/>
      <c r="M79" s="277">
        <f t="shared" si="0"/>
        <v>0</v>
      </c>
      <c r="N79" s="276">
        <f t="shared" si="1"/>
        <v>0</v>
      </c>
      <c r="O79" s="115">
        <v>250</v>
      </c>
      <c r="P79" s="276">
        <v>66042.58</v>
      </c>
      <c r="Q79" s="115"/>
      <c r="R79" s="276"/>
      <c r="S79" s="115"/>
      <c r="T79" s="276"/>
      <c r="U79" s="278" t="s">
        <v>181</v>
      </c>
      <c r="V79" s="115">
        <v>1405</v>
      </c>
      <c r="W79" s="114">
        <v>43052</v>
      </c>
      <c r="X79" s="115" t="s">
        <v>182</v>
      </c>
      <c r="Y79" s="221">
        <v>43201</v>
      </c>
      <c r="Z79" s="115"/>
      <c r="AA79" s="115"/>
      <c r="AB79" s="22">
        <v>0</v>
      </c>
      <c r="AC79" s="170">
        <v>0</v>
      </c>
      <c r="AD79" s="208">
        <v>125</v>
      </c>
      <c r="AE79" s="170">
        <v>26255</v>
      </c>
      <c r="AF79" s="208"/>
      <c r="AG79" s="170"/>
      <c r="AH79" s="208"/>
      <c r="AI79" s="170"/>
      <c r="AJ79" s="232"/>
      <c r="AK79" s="170">
        <f t="shared" si="5"/>
        <v>26255</v>
      </c>
      <c r="AL79" s="270">
        <f>63+62</f>
        <v>125</v>
      </c>
      <c r="AM79" s="170">
        <v>26255</v>
      </c>
      <c r="AN79" s="270">
        <v>0</v>
      </c>
      <c r="AO79" s="170">
        <f t="shared" si="2"/>
        <v>0</v>
      </c>
      <c r="AP79" s="233"/>
      <c r="AQ79" s="233"/>
      <c r="AR79" s="170">
        <v>210.04</v>
      </c>
      <c r="AS79" s="170">
        <f t="shared" si="3"/>
        <v>0</v>
      </c>
      <c r="AT79" s="247">
        <f t="shared" si="6"/>
        <v>0</v>
      </c>
      <c r="AU79" s="170">
        <f t="shared" si="4"/>
        <v>0</v>
      </c>
      <c r="AV79" s="233">
        <v>0</v>
      </c>
    </row>
    <row r="80" spans="1:49" s="62" customFormat="1" ht="26.25" hidden="1" customHeight="1">
      <c r="A80" s="59"/>
      <c r="B80" s="60"/>
      <c r="C80" s="60"/>
      <c r="D80" s="22"/>
      <c r="E80" s="79" t="s">
        <v>24</v>
      </c>
      <c r="F80" s="51" t="s">
        <v>249</v>
      </c>
      <c r="G80" s="275" t="s">
        <v>146</v>
      </c>
      <c r="H80" s="115" t="s">
        <v>91</v>
      </c>
      <c r="I80" s="115" t="s">
        <v>91</v>
      </c>
      <c r="J80" s="115"/>
      <c r="K80" s="115"/>
      <c r="L80" s="276"/>
      <c r="M80" s="277">
        <f t="shared" si="0"/>
        <v>0</v>
      </c>
      <c r="N80" s="276">
        <f t="shared" si="1"/>
        <v>0</v>
      </c>
      <c r="O80" s="115"/>
      <c r="P80" s="276"/>
      <c r="Q80" s="115"/>
      <c r="R80" s="276"/>
      <c r="S80" s="115"/>
      <c r="T80" s="276"/>
      <c r="U80" s="278" t="s">
        <v>145</v>
      </c>
      <c r="V80" s="115">
        <v>1381</v>
      </c>
      <c r="W80" s="114">
        <v>43047</v>
      </c>
      <c r="X80" s="115" t="s">
        <v>144</v>
      </c>
      <c r="Y80" s="221">
        <v>43201</v>
      </c>
      <c r="Z80" s="115"/>
      <c r="AA80" s="115"/>
      <c r="AB80" s="22">
        <v>0</v>
      </c>
      <c r="AC80" s="170">
        <v>0</v>
      </c>
      <c r="AD80" s="208">
        <v>80</v>
      </c>
      <c r="AE80" s="170">
        <v>16803.2</v>
      </c>
      <c r="AF80" s="208"/>
      <c r="AG80" s="170"/>
      <c r="AH80" s="208"/>
      <c r="AI80" s="170"/>
      <c r="AJ80" s="232"/>
      <c r="AK80" s="170">
        <f t="shared" si="5"/>
        <v>16803.2</v>
      </c>
      <c r="AL80" s="270">
        <v>80</v>
      </c>
      <c r="AM80" s="170">
        <v>16803.2</v>
      </c>
      <c r="AN80" s="270">
        <v>0</v>
      </c>
      <c r="AO80" s="170">
        <f t="shared" si="2"/>
        <v>0</v>
      </c>
      <c r="AP80" s="233"/>
      <c r="AQ80" s="233"/>
      <c r="AR80" s="170">
        <f>AM80/AL80</f>
        <v>210.04000000000002</v>
      </c>
      <c r="AS80" s="170">
        <f t="shared" si="3"/>
        <v>0</v>
      </c>
      <c r="AT80" s="247">
        <f t="shared" si="6"/>
        <v>0</v>
      </c>
      <c r="AU80" s="170">
        <f t="shared" si="4"/>
        <v>0</v>
      </c>
      <c r="AV80" s="233">
        <v>0</v>
      </c>
    </row>
    <row r="81" spans="1:48" s="62" customFormat="1" ht="26.25" hidden="1" customHeight="1">
      <c r="A81" s="59"/>
      <c r="B81" s="60"/>
      <c r="C81" s="60"/>
      <c r="D81" s="22"/>
      <c r="E81" s="79" t="s">
        <v>24</v>
      </c>
      <c r="F81" s="51" t="s">
        <v>249</v>
      </c>
      <c r="G81" s="275" t="s">
        <v>146</v>
      </c>
      <c r="H81" s="115" t="s">
        <v>91</v>
      </c>
      <c r="I81" s="115" t="s">
        <v>91</v>
      </c>
      <c r="J81" s="115"/>
      <c r="K81" s="115"/>
      <c r="L81" s="276"/>
      <c r="M81" s="277">
        <f t="shared" si="0"/>
        <v>0</v>
      </c>
      <c r="N81" s="276">
        <f t="shared" si="1"/>
        <v>0</v>
      </c>
      <c r="O81" s="115"/>
      <c r="P81" s="276"/>
      <c r="Q81" s="115"/>
      <c r="R81" s="276"/>
      <c r="S81" s="115"/>
      <c r="T81" s="276"/>
      <c r="U81" s="278" t="s">
        <v>148</v>
      </c>
      <c r="V81" s="115">
        <v>546</v>
      </c>
      <c r="W81" s="114">
        <v>43182</v>
      </c>
      <c r="X81" s="115" t="s">
        <v>149</v>
      </c>
      <c r="Y81" s="221">
        <v>43201</v>
      </c>
      <c r="Z81" s="115" t="s">
        <v>147</v>
      </c>
      <c r="AA81" s="221">
        <v>43252</v>
      </c>
      <c r="AB81" s="22">
        <v>0</v>
      </c>
      <c r="AC81" s="170">
        <v>0</v>
      </c>
      <c r="AD81" s="208">
        <v>10</v>
      </c>
      <c r="AE81" s="170">
        <v>2038.7</v>
      </c>
      <c r="AF81" s="208"/>
      <c r="AG81" s="170"/>
      <c r="AH81" s="208"/>
      <c r="AI81" s="170"/>
      <c r="AJ81" s="232"/>
      <c r="AK81" s="170">
        <f t="shared" si="5"/>
        <v>2038.7</v>
      </c>
      <c r="AL81" s="270">
        <v>10</v>
      </c>
      <c r="AM81" s="170">
        <v>2038.7</v>
      </c>
      <c r="AN81" s="270">
        <v>0</v>
      </c>
      <c r="AO81" s="170">
        <f t="shared" si="2"/>
        <v>0</v>
      </c>
      <c r="AP81" s="233"/>
      <c r="AQ81" s="233"/>
      <c r="AR81" s="170">
        <f>AM81/AL81</f>
        <v>203.87</v>
      </c>
      <c r="AS81" s="170">
        <f t="shared" si="3"/>
        <v>0</v>
      </c>
      <c r="AT81" s="247">
        <f t="shared" si="6"/>
        <v>0</v>
      </c>
      <c r="AU81" s="170">
        <f t="shared" si="4"/>
        <v>0</v>
      </c>
      <c r="AV81" s="233">
        <v>0</v>
      </c>
    </row>
    <row r="82" spans="1:48" s="62" customFormat="1" ht="25.5" hidden="1" customHeight="1">
      <c r="A82" s="59"/>
      <c r="B82" s="60"/>
      <c r="C82" s="60"/>
      <c r="D82" s="22"/>
      <c r="E82" s="79" t="s">
        <v>24</v>
      </c>
      <c r="F82" s="51" t="s">
        <v>250</v>
      </c>
      <c r="G82" s="275" t="s">
        <v>140</v>
      </c>
      <c r="H82" s="115" t="s">
        <v>91</v>
      </c>
      <c r="I82" s="115" t="s">
        <v>91</v>
      </c>
      <c r="J82" s="115">
        <v>1080</v>
      </c>
      <c r="K82" s="115">
        <v>2</v>
      </c>
      <c r="L82" s="276">
        <v>304.58999999999997</v>
      </c>
      <c r="M82" s="277">
        <f t="shared" si="0"/>
        <v>2160</v>
      </c>
      <c r="N82" s="276">
        <f t="shared" si="1"/>
        <v>657914.39999999991</v>
      </c>
      <c r="O82" s="115">
        <v>180</v>
      </c>
      <c r="P82" s="276">
        <v>49908.6</v>
      </c>
      <c r="Q82" s="115">
        <v>1080</v>
      </c>
      <c r="R82" s="276">
        <v>323838</v>
      </c>
      <c r="S82" s="115">
        <v>602</v>
      </c>
      <c r="T82" s="276">
        <v>183363.18</v>
      </c>
      <c r="U82" s="278" t="s">
        <v>139</v>
      </c>
      <c r="V82" s="115">
        <v>427</v>
      </c>
      <c r="W82" s="114">
        <v>43164</v>
      </c>
      <c r="X82" s="115" t="s">
        <v>138</v>
      </c>
      <c r="Y82" s="221">
        <v>43164</v>
      </c>
      <c r="Z82" s="115"/>
      <c r="AA82" s="115"/>
      <c r="AB82" s="22">
        <v>0</v>
      </c>
      <c r="AC82" s="170">
        <v>0</v>
      </c>
      <c r="AD82" s="208">
        <v>56</v>
      </c>
      <c r="AE82" s="170">
        <v>16794.400000000001</v>
      </c>
      <c r="AF82" s="208"/>
      <c r="AG82" s="170"/>
      <c r="AH82" s="208"/>
      <c r="AI82" s="170"/>
      <c r="AJ82" s="232"/>
      <c r="AK82" s="170">
        <f t="shared" si="5"/>
        <v>16794.400000000001</v>
      </c>
      <c r="AL82" s="270">
        <v>0</v>
      </c>
      <c r="AM82" s="170">
        <v>0</v>
      </c>
      <c r="AN82" s="270">
        <v>56</v>
      </c>
      <c r="AO82" s="170">
        <f t="shared" si="2"/>
        <v>16794.400000000001</v>
      </c>
      <c r="AP82" s="233"/>
      <c r="AQ82" s="233"/>
      <c r="AR82" s="170">
        <v>299.89999999999998</v>
      </c>
      <c r="AS82" s="170">
        <f t="shared" si="3"/>
        <v>0</v>
      </c>
      <c r="AT82" s="247">
        <f t="shared" si="6"/>
        <v>0</v>
      </c>
      <c r="AU82" s="386">
        <f t="shared" si="4"/>
        <v>0</v>
      </c>
      <c r="AV82" s="279">
        <v>0</v>
      </c>
    </row>
    <row r="83" spans="1:48" s="62" customFormat="1" ht="25.5" customHeight="1">
      <c r="A83" s="59"/>
      <c r="B83" s="60"/>
      <c r="C83" s="60"/>
      <c r="D83" s="22"/>
      <c r="E83" s="79"/>
      <c r="F83" s="51" t="s">
        <v>247</v>
      </c>
      <c r="G83" s="275" t="s">
        <v>114</v>
      </c>
      <c r="H83" s="115"/>
      <c r="I83" s="115"/>
      <c r="J83" s="115"/>
      <c r="K83" s="115"/>
      <c r="L83" s="276"/>
      <c r="M83" s="277"/>
      <c r="N83" s="276"/>
      <c r="O83" s="115"/>
      <c r="P83" s="276"/>
      <c r="Q83" s="115"/>
      <c r="R83" s="276"/>
      <c r="S83" s="115"/>
      <c r="T83" s="276"/>
      <c r="U83" s="278" t="s">
        <v>263</v>
      </c>
      <c r="V83" s="115"/>
      <c r="W83" s="114"/>
      <c r="X83" s="115"/>
      <c r="Y83" s="221"/>
      <c r="Z83" s="115"/>
      <c r="AA83" s="115"/>
      <c r="AB83" s="22"/>
      <c r="AC83" s="170"/>
      <c r="AD83" s="208"/>
      <c r="AE83" s="170"/>
      <c r="AF83" s="208"/>
      <c r="AG83" s="170"/>
      <c r="AH83" s="208"/>
      <c r="AI83" s="170"/>
      <c r="AJ83" s="233">
        <v>36</v>
      </c>
      <c r="AK83" s="170"/>
      <c r="AL83" s="270"/>
      <c r="AM83" s="170"/>
      <c r="AN83" s="270"/>
      <c r="AO83" s="170"/>
      <c r="AP83" s="233"/>
      <c r="AQ83" s="233"/>
      <c r="AR83" s="170"/>
      <c r="AS83" s="170"/>
      <c r="AT83" s="233">
        <f t="shared" si="6"/>
        <v>0</v>
      </c>
      <c r="AU83" s="386"/>
      <c r="AV83" s="233">
        <v>0</v>
      </c>
    </row>
    <row r="84" spans="1:48" s="62" customFormat="1" ht="25.5" customHeight="1">
      <c r="A84" s="59"/>
      <c r="B84" s="60"/>
      <c r="C84" s="60"/>
      <c r="D84" s="22"/>
      <c r="E84" s="79"/>
      <c r="F84" s="51" t="s">
        <v>247</v>
      </c>
      <c r="G84" s="275" t="s">
        <v>114</v>
      </c>
      <c r="H84" s="115"/>
      <c r="I84" s="115"/>
      <c r="J84" s="115"/>
      <c r="K84" s="115"/>
      <c r="L84" s="276"/>
      <c r="M84" s="277"/>
      <c r="N84" s="276"/>
      <c r="O84" s="115"/>
      <c r="P84" s="276"/>
      <c r="Q84" s="115"/>
      <c r="R84" s="276"/>
      <c r="S84" s="115"/>
      <c r="T84" s="276"/>
      <c r="U84" s="278" t="s">
        <v>262</v>
      </c>
      <c r="V84" s="115"/>
      <c r="W84" s="114"/>
      <c r="X84" s="115"/>
      <c r="Y84" s="221"/>
      <c r="Z84" s="115"/>
      <c r="AA84" s="115"/>
      <c r="AB84" s="22"/>
      <c r="AC84" s="170"/>
      <c r="AD84" s="208"/>
      <c r="AE84" s="170"/>
      <c r="AF84" s="208"/>
      <c r="AG84" s="170"/>
      <c r="AH84" s="208"/>
      <c r="AI84" s="170"/>
      <c r="AJ84" s="233">
        <v>234</v>
      </c>
      <c r="AK84" s="170"/>
      <c r="AL84" s="270"/>
      <c r="AM84" s="170"/>
      <c r="AN84" s="270"/>
      <c r="AO84" s="170"/>
      <c r="AP84" s="233"/>
      <c r="AQ84" s="233"/>
      <c r="AR84" s="170"/>
      <c r="AS84" s="170"/>
      <c r="AT84" s="233">
        <f t="shared" si="6"/>
        <v>0</v>
      </c>
      <c r="AU84" s="386"/>
      <c r="AV84" s="233">
        <v>0</v>
      </c>
    </row>
    <row r="85" spans="1:48" s="62" customFormat="1" ht="25.5" customHeight="1">
      <c r="A85" s="59"/>
      <c r="B85" s="60"/>
      <c r="C85" s="60"/>
      <c r="D85" s="22"/>
      <c r="E85" s="79"/>
      <c r="F85" s="51" t="s">
        <v>247</v>
      </c>
      <c r="G85" s="275" t="s">
        <v>114</v>
      </c>
      <c r="H85" s="115"/>
      <c r="I85" s="115"/>
      <c r="J85" s="115"/>
      <c r="K85" s="115"/>
      <c r="L85" s="276"/>
      <c r="M85" s="277"/>
      <c r="N85" s="276"/>
      <c r="O85" s="115"/>
      <c r="P85" s="276"/>
      <c r="Q85" s="115"/>
      <c r="R85" s="276"/>
      <c r="S85" s="115"/>
      <c r="T85" s="276"/>
      <c r="U85" s="278" t="s">
        <v>263</v>
      </c>
      <c r="V85" s="115"/>
      <c r="W85" s="114"/>
      <c r="X85" s="115"/>
      <c r="Y85" s="221"/>
      <c r="Z85" s="115"/>
      <c r="AA85" s="115"/>
      <c r="AB85" s="22"/>
      <c r="AC85" s="170"/>
      <c r="AD85" s="208"/>
      <c r="AE85" s="170"/>
      <c r="AF85" s="208"/>
      <c r="AG85" s="170"/>
      <c r="AH85" s="208"/>
      <c r="AI85" s="170"/>
      <c r="AJ85" s="233">
        <v>14</v>
      </c>
      <c r="AK85" s="170"/>
      <c r="AL85" s="270"/>
      <c r="AM85" s="170"/>
      <c r="AN85" s="270"/>
      <c r="AO85" s="170"/>
      <c r="AP85" s="233"/>
      <c r="AQ85" s="233"/>
      <c r="AR85" s="170"/>
      <c r="AS85" s="170"/>
      <c r="AT85" s="233">
        <f t="shared" si="6"/>
        <v>0</v>
      </c>
      <c r="AU85" s="386"/>
      <c r="AV85" s="233">
        <v>0</v>
      </c>
    </row>
    <row r="86" spans="1:48" s="103" customFormat="1" ht="25.5" customHeight="1">
      <c r="A86" s="283"/>
      <c r="B86" s="101"/>
      <c r="C86" s="101"/>
      <c r="D86" s="22"/>
      <c r="E86" s="104"/>
      <c r="F86" s="51" t="s">
        <v>375</v>
      </c>
      <c r="G86" s="275" t="s">
        <v>114</v>
      </c>
      <c r="H86" s="115"/>
      <c r="I86" s="115"/>
      <c r="J86" s="115"/>
      <c r="K86" s="115"/>
      <c r="L86" s="276"/>
      <c r="M86" s="277"/>
      <c r="N86" s="276"/>
      <c r="O86" s="115"/>
      <c r="P86" s="276"/>
      <c r="Q86" s="115"/>
      <c r="R86" s="276"/>
      <c r="S86" s="115"/>
      <c r="T86" s="276"/>
      <c r="U86" s="278" t="s">
        <v>283</v>
      </c>
      <c r="V86" s="115"/>
      <c r="W86" s="114"/>
      <c r="X86" s="115"/>
      <c r="Y86" s="221"/>
      <c r="Z86" s="115"/>
      <c r="AA86" s="115"/>
      <c r="AB86" s="22"/>
      <c r="AC86" s="170"/>
      <c r="AD86" s="208"/>
      <c r="AE86" s="170"/>
      <c r="AF86" s="208"/>
      <c r="AG86" s="170"/>
      <c r="AH86" s="208"/>
      <c r="AI86" s="170"/>
      <c r="AJ86" s="208">
        <v>76</v>
      </c>
      <c r="AK86" s="170"/>
      <c r="AL86" s="35"/>
      <c r="AM86" s="170"/>
      <c r="AN86" s="35"/>
      <c r="AO86" s="170"/>
      <c r="AP86" s="208"/>
      <c r="AQ86" s="208"/>
      <c r="AR86" s="170"/>
      <c r="AS86" s="170"/>
      <c r="AT86" s="208">
        <f t="shared" si="6"/>
        <v>0</v>
      </c>
      <c r="AU86" s="170"/>
      <c r="AV86" s="208">
        <v>0</v>
      </c>
    </row>
    <row r="87" spans="1:48" s="62" customFormat="1" ht="25.5" customHeight="1">
      <c r="A87" s="59"/>
      <c r="B87" s="60"/>
      <c r="C87" s="60"/>
      <c r="D87" s="22"/>
      <c r="E87" s="79"/>
      <c r="F87" s="140" t="s">
        <v>55</v>
      </c>
      <c r="G87" s="222" t="s">
        <v>114</v>
      </c>
      <c r="H87" s="115"/>
      <c r="I87" s="115"/>
      <c r="J87" s="115"/>
      <c r="K87" s="115"/>
      <c r="L87" s="276"/>
      <c r="M87" s="277"/>
      <c r="N87" s="276"/>
      <c r="O87" s="115"/>
      <c r="P87" s="276"/>
      <c r="Q87" s="115"/>
      <c r="R87" s="276"/>
      <c r="S87" s="115"/>
      <c r="T87" s="276"/>
      <c r="U87" s="657" t="s">
        <v>356</v>
      </c>
      <c r="V87" s="115"/>
      <c r="W87" s="114"/>
      <c r="X87" s="115"/>
      <c r="Y87" s="221"/>
      <c r="Z87" s="115"/>
      <c r="AA87" s="115"/>
      <c r="AB87" s="22"/>
      <c r="AC87" s="170"/>
      <c r="AD87" s="208"/>
      <c r="AE87" s="170"/>
      <c r="AF87" s="208"/>
      <c r="AG87" s="170"/>
      <c r="AH87" s="208"/>
      <c r="AI87" s="170"/>
      <c r="AJ87" s="232">
        <v>16</v>
      </c>
      <c r="AK87" s="170"/>
      <c r="AL87" s="270"/>
      <c r="AM87" s="170"/>
      <c r="AN87" s="270"/>
      <c r="AO87" s="170"/>
      <c r="AP87" s="233"/>
      <c r="AQ87" s="233"/>
      <c r="AR87" s="170"/>
      <c r="AS87" s="170"/>
      <c r="AT87" s="247">
        <f t="shared" si="6"/>
        <v>6</v>
      </c>
      <c r="AU87" s="386"/>
      <c r="AV87" s="279">
        <v>6</v>
      </c>
    </row>
    <row r="88" spans="1:48" s="62" customFormat="1" ht="25.5" customHeight="1">
      <c r="A88" s="59"/>
      <c r="B88" s="60"/>
      <c r="C88" s="60"/>
      <c r="D88" s="22"/>
      <c r="E88" s="79"/>
      <c r="F88" s="140" t="s">
        <v>55</v>
      </c>
      <c r="G88" s="222" t="s">
        <v>114</v>
      </c>
      <c r="H88" s="115"/>
      <c r="I88" s="115"/>
      <c r="J88" s="115"/>
      <c r="K88" s="115"/>
      <c r="L88" s="276"/>
      <c r="M88" s="277"/>
      <c r="N88" s="276"/>
      <c r="O88" s="115"/>
      <c r="P88" s="276"/>
      <c r="Q88" s="115"/>
      <c r="R88" s="276"/>
      <c r="S88" s="115"/>
      <c r="T88" s="276"/>
      <c r="U88" s="657" t="s">
        <v>357</v>
      </c>
      <c r="V88" s="115"/>
      <c r="W88" s="114"/>
      <c r="X88" s="115"/>
      <c r="Y88" s="221"/>
      <c r="Z88" s="115"/>
      <c r="AA88" s="115"/>
      <c r="AB88" s="22"/>
      <c r="AC88" s="170"/>
      <c r="AD88" s="208"/>
      <c r="AE88" s="170"/>
      <c r="AF88" s="208"/>
      <c r="AG88" s="170"/>
      <c r="AH88" s="208"/>
      <c r="AI88" s="170"/>
      <c r="AJ88" s="232">
        <v>50</v>
      </c>
      <c r="AK88" s="170"/>
      <c r="AL88" s="270"/>
      <c r="AM88" s="170"/>
      <c r="AN88" s="270"/>
      <c r="AO88" s="170"/>
      <c r="AP88" s="233"/>
      <c r="AQ88" s="233"/>
      <c r="AR88" s="170"/>
      <c r="AS88" s="170"/>
      <c r="AT88" s="247">
        <f t="shared" si="6"/>
        <v>0</v>
      </c>
      <c r="AU88" s="386"/>
      <c r="AV88" s="279">
        <v>0</v>
      </c>
    </row>
    <row r="89" spans="1:48" s="62" customFormat="1" ht="25.5" customHeight="1">
      <c r="A89" s="59"/>
      <c r="B89" s="60"/>
      <c r="C89" s="60"/>
      <c r="D89" s="22"/>
      <c r="E89" s="79"/>
      <c r="F89" s="140" t="s">
        <v>55</v>
      </c>
      <c r="G89" s="222" t="s">
        <v>114</v>
      </c>
      <c r="H89" s="115"/>
      <c r="I89" s="115"/>
      <c r="J89" s="115"/>
      <c r="K89" s="115"/>
      <c r="L89" s="276"/>
      <c r="M89" s="277"/>
      <c r="N89" s="276"/>
      <c r="O89" s="115"/>
      <c r="P89" s="276"/>
      <c r="Q89" s="115"/>
      <c r="R89" s="276"/>
      <c r="S89" s="115"/>
      <c r="T89" s="276"/>
      <c r="U89" s="657" t="s">
        <v>356</v>
      </c>
      <c r="V89" s="115"/>
      <c r="W89" s="114"/>
      <c r="X89" s="115"/>
      <c r="Y89" s="221"/>
      <c r="Z89" s="115"/>
      <c r="AA89" s="115"/>
      <c r="AB89" s="22"/>
      <c r="AC89" s="170"/>
      <c r="AD89" s="208"/>
      <c r="AE89" s="170"/>
      <c r="AF89" s="208"/>
      <c r="AG89" s="170"/>
      <c r="AH89" s="208"/>
      <c r="AI89" s="170"/>
      <c r="AJ89" s="232">
        <v>24</v>
      </c>
      <c r="AK89" s="170"/>
      <c r="AL89" s="270"/>
      <c r="AM89" s="170"/>
      <c r="AN89" s="270"/>
      <c r="AO89" s="170"/>
      <c r="AP89" s="233"/>
      <c r="AQ89" s="233"/>
      <c r="AR89" s="170"/>
      <c r="AS89" s="170"/>
      <c r="AT89" s="247">
        <f t="shared" si="6"/>
        <v>24</v>
      </c>
      <c r="AU89" s="386"/>
      <c r="AV89" s="279">
        <v>24</v>
      </c>
    </row>
    <row r="90" spans="1:48" s="62" customFormat="1" ht="25.5" customHeight="1">
      <c r="A90" s="59"/>
      <c r="B90" s="60"/>
      <c r="C90" s="60"/>
      <c r="D90" s="22"/>
      <c r="E90" s="79"/>
      <c r="F90" s="173" t="s">
        <v>64</v>
      </c>
      <c r="G90" s="222" t="s">
        <v>140</v>
      </c>
      <c r="H90" s="193"/>
      <c r="I90" s="193"/>
      <c r="J90" s="193"/>
      <c r="K90" s="193"/>
      <c r="L90" s="243"/>
      <c r="M90" s="242"/>
      <c r="N90" s="243"/>
      <c r="O90" s="193"/>
      <c r="P90" s="243"/>
      <c r="Q90" s="193"/>
      <c r="R90" s="243"/>
      <c r="S90" s="193"/>
      <c r="T90" s="243"/>
      <c r="U90" s="203" t="s">
        <v>244</v>
      </c>
      <c r="V90" s="115"/>
      <c r="W90" s="114"/>
      <c r="X90" s="193"/>
      <c r="Y90" s="200"/>
      <c r="Z90" s="193"/>
      <c r="AA90" s="200"/>
      <c r="AB90" s="22"/>
      <c r="AC90" s="170"/>
      <c r="AD90" s="209"/>
      <c r="AE90" s="194"/>
      <c r="AF90" s="209"/>
      <c r="AG90" s="194"/>
      <c r="AH90" s="209"/>
      <c r="AI90" s="194"/>
      <c r="AJ90" s="232"/>
      <c r="AK90" s="170"/>
      <c r="AL90" s="272"/>
      <c r="AM90" s="212"/>
      <c r="AN90" s="269"/>
      <c r="AO90" s="217"/>
      <c r="AP90" s="232"/>
      <c r="AQ90" s="229"/>
      <c r="AR90" s="212"/>
      <c r="AS90" s="212"/>
      <c r="AT90" s="247">
        <f t="shared" si="6"/>
        <v>236</v>
      </c>
      <c r="AU90" s="228"/>
      <c r="AV90" s="279">
        <v>236</v>
      </c>
    </row>
    <row r="91" spans="1:48" s="62" customFormat="1" ht="25.5" customHeight="1">
      <c r="A91" s="59"/>
      <c r="B91" s="60"/>
      <c r="C91" s="60"/>
      <c r="D91" s="22"/>
      <c r="E91" s="79"/>
      <c r="F91" s="173" t="s">
        <v>64</v>
      </c>
      <c r="G91" s="222" t="s">
        <v>140</v>
      </c>
      <c r="H91" s="193"/>
      <c r="I91" s="193"/>
      <c r="J91" s="193"/>
      <c r="K91" s="193"/>
      <c r="L91" s="243"/>
      <c r="M91" s="242"/>
      <c r="N91" s="243"/>
      <c r="O91" s="193"/>
      <c r="P91" s="243"/>
      <c r="Q91" s="193"/>
      <c r="R91" s="243"/>
      <c r="S91" s="193"/>
      <c r="T91" s="243"/>
      <c r="U91" s="203" t="s">
        <v>264</v>
      </c>
      <c r="V91" s="115"/>
      <c r="W91" s="114"/>
      <c r="X91" s="193"/>
      <c r="Y91" s="200"/>
      <c r="Z91" s="193"/>
      <c r="AA91" s="200"/>
      <c r="AB91" s="22"/>
      <c r="AC91" s="170"/>
      <c r="AD91" s="209"/>
      <c r="AE91" s="194"/>
      <c r="AF91" s="209"/>
      <c r="AG91" s="194"/>
      <c r="AH91" s="209"/>
      <c r="AI91" s="194"/>
      <c r="AJ91" s="232">
        <v>224</v>
      </c>
      <c r="AK91" s="170"/>
      <c r="AL91" s="272"/>
      <c r="AM91" s="212"/>
      <c r="AN91" s="269"/>
      <c r="AO91" s="217"/>
      <c r="AP91" s="232"/>
      <c r="AQ91" s="229"/>
      <c r="AR91" s="212"/>
      <c r="AS91" s="212"/>
      <c r="AT91" s="247">
        <f t="shared" si="6"/>
        <v>224</v>
      </c>
      <c r="AU91" s="228"/>
      <c r="AV91" s="279">
        <v>224</v>
      </c>
    </row>
    <row r="92" spans="1:48" s="62" customFormat="1" ht="25.5" customHeight="1">
      <c r="A92" s="59"/>
      <c r="B92" s="60"/>
      <c r="C92" s="60"/>
      <c r="D92" s="22"/>
      <c r="E92" s="79"/>
      <c r="F92" s="173" t="s">
        <v>64</v>
      </c>
      <c r="G92" s="222" t="s">
        <v>140</v>
      </c>
      <c r="H92" s="193"/>
      <c r="I92" s="193"/>
      <c r="J92" s="193"/>
      <c r="K92" s="193"/>
      <c r="L92" s="243"/>
      <c r="M92" s="242"/>
      <c r="N92" s="243"/>
      <c r="O92" s="193"/>
      <c r="P92" s="243"/>
      <c r="Q92" s="193"/>
      <c r="R92" s="243"/>
      <c r="S92" s="193"/>
      <c r="T92" s="243"/>
      <c r="U92" s="203" t="s">
        <v>244</v>
      </c>
      <c r="V92" s="115"/>
      <c r="W92" s="114"/>
      <c r="X92" s="193"/>
      <c r="Y92" s="200"/>
      <c r="Z92" s="193"/>
      <c r="AA92" s="200"/>
      <c r="AB92" s="22"/>
      <c r="AC92" s="170"/>
      <c r="AD92" s="209"/>
      <c r="AE92" s="194"/>
      <c r="AF92" s="209"/>
      <c r="AG92" s="194"/>
      <c r="AH92" s="209"/>
      <c r="AI92" s="194"/>
      <c r="AJ92" s="232">
        <v>176</v>
      </c>
      <c r="AK92" s="170"/>
      <c r="AL92" s="272"/>
      <c r="AM92" s="212"/>
      <c r="AN92" s="269"/>
      <c r="AO92" s="217"/>
      <c r="AP92" s="232"/>
      <c r="AQ92" s="229"/>
      <c r="AR92" s="212"/>
      <c r="AS92" s="212"/>
      <c r="AT92" s="247">
        <f t="shared" si="6"/>
        <v>176</v>
      </c>
      <c r="AU92" s="228"/>
      <c r="AV92" s="279">
        <v>176</v>
      </c>
    </row>
    <row r="93" spans="1:48" s="62" customFormat="1" ht="25.5" customHeight="1">
      <c r="A93" s="59"/>
      <c r="B93" s="60"/>
      <c r="C93" s="60"/>
      <c r="D93" s="22"/>
      <c r="E93" s="79"/>
      <c r="F93" s="173" t="s">
        <v>64</v>
      </c>
      <c r="G93" s="222" t="s">
        <v>140</v>
      </c>
      <c r="H93" s="193"/>
      <c r="I93" s="193"/>
      <c r="J93" s="193"/>
      <c r="K93" s="193"/>
      <c r="L93" s="243"/>
      <c r="M93" s="242"/>
      <c r="N93" s="243"/>
      <c r="O93" s="193"/>
      <c r="P93" s="243"/>
      <c r="Q93" s="193"/>
      <c r="R93" s="243"/>
      <c r="S93" s="193"/>
      <c r="T93" s="243"/>
      <c r="U93" s="203" t="s">
        <v>285</v>
      </c>
      <c r="V93" s="115"/>
      <c r="W93" s="114"/>
      <c r="X93" s="193"/>
      <c r="Y93" s="200"/>
      <c r="Z93" s="193"/>
      <c r="AA93" s="200"/>
      <c r="AB93" s="22"/>
      <c r="AC93" s="170"/>
      <c r="AD93" s="209"/>
      <c r="AE93" s="194"/>
      <c r="AF93" s="209"/>
      <c r="AG93" s="194"/>
      <c r="AH93" s="209"/>
      <c r="AI93" s="194"/>
      <c r="AJ93" s="232">
        <v>154</v>
      </c>
      <c r="AK93" s="170"/>
      <c r="AL93" s="272"/>
      <c r="AM93" s="212"/>
      <c r="AN93" s="269"/>
      <c r="AO93" s="217"/>
      <c r="AP93" s="232"/>
      <c r="AQ93" s="229"/>
      <c r="AR93" s="212"/>
      <c r="AS93" s="212"/>
      <c r="AT93" s="247">
        <f t="shared" si="6"/>
        <v>154</v>
      </c>
      <c r="AU93" s="228"/>
      <c r="AV93" s="279">
        <v>154</v>
      </c>
    </row>
    <row r="94" spans="1:48" s="62" customFormat="1" ht="25.5" customHeight="1">
      <c r="A94" s="59"/>
      <c r="B94" s="60"/>
      <c r="C94" s="60"/>
      <c r="D94" s="22"/>
      <c r="E94" s="79"/>
      <c r="F94" s="173" t="s">
        <v>64</v>
      </c>
      <c r="G94" s="222" t="s">
        <v>140</v>
      </c>
      <c r="H94" s="193"/>
      <c r="I94" s="193"/>
      <c r="J94" s="193"/>
      <c r="K94" s="193"/>
      <c r="L94" s="243"/>
      <c r="M94" s="242"/>
      <c r="N94" s="243"/>
      <c r="O94" s="193"/>
      <c r="P94" s="243"/>
      <c r="Q94" s="193"/>
      <c r="R94" s="243"/>
      <c r="S94" s="193"/>
      <c r="T94" s="243"/>
      <c r="U94" s="203" t="s">
        <v>293</v>
      </c>
      <c r="V94" s="115"/>
      <c r="W94" s="114"/>
      <c r="X94" s="193"/>
      <c r="Y94" s="200"/>
      <c r="Z94" s="193"/>
      <c r="AA94" s="200"/>
      <c r="AB94" s="22"/>
      <c r="AC94" s="170"/>
      <c r="AD94" s="209"/>
      <c r="AE94" s="194"/>
      <c r="AF94" s="209"/>
      <c r="AG94" s="194"/>
      <c r="AH94" s="209"/>
      <c r="AI94" s="194"/>
      <c r="AJ94" s="232">
        <v>84</v>
      </c>
      <c r="AK94" s="170"/>
      <c r="AL94" s="272"/>
      <c r="AM94" s="212"/>
      <c r="AN94" s="269"/>
      <c r="AO94" s="217"/>
      <c r="AP94" s="232"/>
      <c r="AQ94" s="229"/>
      <c r="AR94" s="212"/>
      <c r="AS94" s="212"/>
      <c r="AT94" s="247">
        <f t="shared" ref="AT94:AT115" si="9">AV94</f>
        <v>84</v>
      </c>
      <c r="AU94" s="228"/>
      <c r="AV94" s="279">
        <v>84</v>
      </c>
    </row>
    <row r="95" spans="1:48" s="62" customFormat="1" ht="25.5" customHeight="1">
      <c r="A95" s="59"/>
      <c r="B95" s="60"/>
      <c r="C95" s="60"/>
      <c r="D95" s="22"/>
      <c r="E95" s="79"/>
      <c r="F95" s="173" t="s">
        <v>64</v>
      </c>
      <c r="G95" s="222" t="s">
        <v>140</v>
      </c>
      <c r="H95" s="193"/>
      <c r="I95" s="193"/>
      <c r="J95" s="193"/>
      <c r="K95" s="193"/>
      <c r="L95" s="243"/>
      <c r="M95" s="242"/>
      <c r="N95" s="243"/>
      <c r="O95" s="193"/>
      <c r="P95" s="243"/>
      <c r="Q95" s="193"/>
      <c r="R95" s="243"/>
      <c r="S95" s="193"/>
      <c r="T95" s="243"/>
      <c r="U95" s="203" t="s">
        <v>293</v>
      </c>
      <c r="V95" s="115"/>
      <c r="W95" s="114"/>
      <c r="X95" s="193"/>
      <c r="Y95" s="200"/>
      <c r="Z95" s="193"/>
      <c r="AA95" s="200"/>
      <c r="AB95" s="22"/>
      <c r="AC95" s="170"/>
      <c r="AD95" s="209"/>
      <c r="AE95" s="194"/>
      <c r="AF95" s="209"/>
      <c r="AG95" s="194"/>
      <c r="AH95" s="209"/>
      <c r="AI95" s="194"/>
      <c r="AJ95" s="232">
        <v>48</v>
      </c>
      <c r="AK95" s="170"/>
      <c r="AL95" s="272"/>
      <c r="AM95" s="212"/>
      <c r="AN95" s="269"/>
      <c r="AO95" s="217"/>
      <c r="AP95" s="232"/>
      <c r="AQ95" s="229"/>
      <c r="AR95" s="212"/>
      <c r="AS95" s="212"/>
      <c r="AT95" s="247">
        <f t="shared" si="9"/>
        <v>48</v>
      </c>
      <c r="AU95" s="228"/>
      <c r="AV95" s="279">
        <v>48</v>
      </c>
    </row>
    <row r="96" spans="1:48" s="62" customFormat="1" ht="25.5" customHeight="1">
      <c r="A96" s="59"/>
      <c r="B96" s="60"/>
      <c r="C96" s="60"/>
      <c r="D96" s="22"/>
      <c r="E96" s="79"/>
      <c r="F96" s="173" t="s">
        <v>64</v>
      </c>
      <c r="G96" s="222" t="s">
        <v>140</v>
      </c>
      <c r="H96" s="193"/>
      <c r="I96" s="193"/>
      <c r="J96" s="193"/>
      <c r="K96" s="193"/>
      <c r="L96" s="243"/>
      <c r="M96" s="242"/>
      <c r="N96" s="243"/>
      <c r="O96" s="193"/>
      <c r="P96" s="243"/>
      <c r="Q96" s="193"/>
      <c r="R96" s="243"/>
      <c r="S96" s="193"/>
      <c r="T96" s="243"/>
      <c r="U96" s="203" t="s">
        <v>323</v>
      </c>
      <c r="V96" s="115"/>
      <c r="W96" s="114"/>
      <c r="X96" s="193"/>
      <c r="Y96" s="200"/>
      <c r="Z96" s="193"/>
      <c r="AA96" s="200"/>
      <c r="AB96" s="22"/>
      <c r="AC96" s="170"/>
      <c r="AD96" s="209"/>
      <c r="AE96" s="194"/>
      <c r="AF96" s="209"/>
      <c r="AG96" s="194"/>
      <c r="AH96" s="209"/>
      <c r="AI96" s="194"/>
      <c r="AJ96" s="232">
        <v>36</v>
      </c>
      <c r="AK96" s="170"/>
      <c r="AL96" s="272"/>
      <c r="AM96" s="212"/>
      <c r="AN96" s="269"/>
      <c r="AO96" s="217"/>
      <c r="AP96" s="232"/>
      <c r="AQ96" s="229"/>
      <c r="AR96" s="212"/>
      <c r="AS96" s="212"/>
      <c r="AT96" s="247">
        <f t="shared" si="9"/>
        <v>36</v>
      </c>
      <c r="AU96" s="228"/>
      <c r="AV96" s="279">
        <v>36</v>
      </c>
    </row>
    <row r="97" spans="1:48" s="62" customFormat="1" ht="25.5" customHeight="1">
      <c r="A97" s="59"/>
      <c r="B97" s="60"/>
      <c r="C97" s="60"/>
      <c r="D97" s="22"/>
      <c r="E97" s="79"/>
      <c r="F97" s="173" t="s">
        <v>64</v>
      </c>
      <c r="G97" s="222" t="s">
        <v>140</v>
      </c>
      <c r="H97" s="193"/>
      <c r="I97" s="193"/>
      <c r="J97" s="193"/>
      <c r="K97" s="193"/>
      <c r="L97" s="243"/>
      <c r="M97" s="242"/>
      <c r="N97" s="243"/>
      <c r="O97" s="193"/>
      <c r="P97" s="243"/>
      <c r="Q97" s="193"/>
      <c r="R97" s="243"/>
      <c r="S97" s="193"/>
      <c r="T97" s="243"/>
      <c r="U97" s="657" t="s">
        <v>358</v>
      </c>
      <c r="V97" s="115"/>
      <c r="W97" s="114"/>
      <c r="X97" s="193"/>
      <c r="Y97" s="200"/>
      <c r="Z97" s="193"/>
      <c r="AA97" s="200"/>
      <c r="AB97" s="22"/>
      <c r="AC97" s="170"/>
      <c r="AD97" s="209"/>
      <c r="AE97" s="194"/>
      <c r="AF97" s="209"/>
      <c r="AG97" s="194"/>
      <c r="AH97" s="209"/>
      <c r="AI97" s="194"/>
      <c r="AJ97" s="232">
        <v>60</v>
      </c>
      <c r="AK97" s="170"/>
      <c r="AL97" s="272"/>
      <c r="AM97" s="212"/>
      <c r="AN97" s="269"/>
      <c r="AO97" s="217"/>
      <c r="AP97" s="232"/>
      <c r="AQ97" s="229"/>
      <c r="AR97" s="212"/>
      <c r="AS97" s="212"/>
      <c r="AT97" s="247">
        <f t="shared" si="9"/>
        <v>60</v>
      </c>
      <c r="AU97" s="228"/>
      <c r="AV97" s="279">
        <v>60</v>
      </c>
    </row>
    <row r="98" spans="1:48" s="62" customFormat="1" ht="25.5" customHeight="1">
      <c r="A98" s="59"/>
      <c r="B98" s="60"/>
      <c r="C98" s="60"/>
      <c r="D98" s="22"/>
      <c r="E98" s="79"/>
      <c r="F98" s="173" t="s">
        <v>64</v>
      </c>
      <c r="G98" s="222" t="s">
        <v>140</v>
      </c>
      <c r="H98" s="193"/>
      <c r="I98" s="193"/>
      <c r="J98" s="193"/>
      <c r="K98" s="193"/>
      <c r="L98" s="243"/>
      <c r="M98" s="242"/>
      <c r="N98" s="243"/>
      <c r="O98" s="193"/>
      <c r="P98" s="243"/>
      <c r="Q98" s="193"/>
      <c r="R98" s="243"/>
      <c r="S98" s="193"/>
      <c r="T98" s="243"/>
      <c r="U98" s="657" t="s">
        <v>358</v>
      </c>
      <c r="V98" s="115"/>
      <c r="W98" s="114"/>
      <c r="X98" s="193"/>
      <c r="Y98" s="200"/>
      <c r="Z98" s="193"/>
      <c r="AA98" s="200"/>
      <c r="AB98" s="22"/>
      <c r="AC98" s="170"/>
      <c r="AD98" s="209"/>
      <c r="AE98" s="194"/>
      <c r="AF98" s="209"/>
      <c r="AG98" s="194"/>
      <c r="AH98" s="209"/>
      <c r="AI98" s="194"/>
      <c r="AJ98" s="232">
        <v>156</v>
      </c>
      <c r="AK98" s="170"/>
      <c r="AL98" s="272"/>
      <c r="AM98" s="212"/>
      <c r="AN98" s="269"/>
      <c r="AO98" s="217"/>
      <c r="AP98" s="232"/>
      <c r="AQ98" s="229"/>
      <c r="AR98" s="212"/>
      <c r="AS98" s="212"/>
      <c r="AT98" s="247">
        <f t="shared" si="9"/>
        <v>156</v>
      </c>
      <c r="AU98" s="228"/>
      <c r="AV98" s="279">
        <v>156</v>
      </c>
    </row>
    <row r="99" spans="1:48" s="62" customFormat="1" ht="25.5" customHeight="1">
      <c r="A99" s="59"/>
      <c r="B99" s="60"/>
      <c r="C99" s="60"/>
      <c r="D99" s="22"/>
      <c r="E99" s="79"/>
      <c r="F99" s="173" t="s">
        <v>64</v>
      </c>
      <c r="G99" s="222" t="s">
        <v>140</v>
      </c>
      <c r="H99" s="193"/>
      <c r="I99" s="193"/>
      <c r="J99" s="193"/>
      <c r="K99" s="193"/>
      <c r="L99" s="243"/>
      <c r="M99" s="242"/>
      <c r="N99" s="243"/>
      <c r="O99" s="193"/>
      <c r="P99" s="243"/>
      <c r="Q99" s="193"/>
      <c r="R99" s="243"/>
      <c r="S99" s="193"/>
      <c r="T99" s="243"/>
      <c r="U99" s="657" t="s">
        <v>361</v>
      </c>
      <c r="V99" s="115"/>
      <c r="W99" s="114"/>
      <c r="X99" s="193"/>
      <c r="Y99" s="200"/>
      <c r="Z99" s="193"/>
      <c r="AA99" s="200"/>
      <c r="AB99" s="22"/>
      <c r="AC99" s="170"/>
      <c r="AD99" s="209"/>
      <c r="AE99" s="194"/>
      <c r="AF99" s="209"/>
      <c r="AG99" s="194"/>
      <c r="AH99" s="209"/>
      <c r="AI99" s="194"/>
      <c r="AJ99" s="232">
        <v>134</v>
      </c>
      <c r="AK99" s="170"/>
      <c r="AL99" s="272"/>
      <c r="AM99" s="212"/>
      <c r="AN99" s="269"/>
      <c r="AO99" s="217"/>
      <c r="AP99" s="232"/>
      <c r="AQ99" s="229"/>
      <c r="AR99" s="212"/>
      <c r="AS99" s="212"/>
      <c r="AT99" s="247">
        <f t="shared" si="9"/>
        <v>134</v>
      </c>
      <c r="AU99" s="228"/>
      <c r="AV99" s="279">
        <v>134</v>
      </c>
    </row>
    <row r="100" spans="1:48" s="62" customFormat="1" ht="25.5" customHeight="1">
      <c r="A100" s="59"/>
      <c r="B100" s="60"/>
      <c r="C100" s="60"/>
      <c r="D100" s="22"/>
      <c r="E100" s="79"/>
      <c r="F100" s="173" t="s">
        <v>64</v>
      </c>
      <c r="G100" s="222" t="s">
        <v>140</v>
      </c>
      <c r="H100" s="193"/>
      <c r="I100" s="193"/>
      <c r="J100" s="193"/>
      <c r="K100" s="193"/>
      <c r="L100" s="243"/>
      <c r="M100" s="242"/>
      <c r="N100" s="243"/>
      <c r="O100" s="193"/>
      <c r="P100" s="243"/>
      <c r="Q100" s="193"/>
      <c r="R100" s="243"/>
      <c r="S100" s="193"/>
      <c r="T100" s="243"/>
      <c r="U100" s="203" t="s">
        <v>366</v>
      </c>
      <c r="V100" s="115"/>
      <c r="W100" s="114"/>
      <c r="X100" s="193"/>
      <c r="Y100" s="200"/>
      <c r="Z100" s="193"/>
      <c r="AA100" s="200"/>
      <c r="AB100" s="22"/>
      <c r="AC100" s="170"/>
      <c r="AD100" s="209"/>
      <c r="AE100" s="194"/>
      <c r="AF100" s="209"/>
      <c r="AG100" s="194"/>
      <c r="AH100" s="209"/>
      <c r="AI100" s="194"/>
      <c r="AJ100" s="232">
        <v>90</v>
      </c>
      <c r="AK100" s="170"/>
      <c r="AL100" s="272"/>
      <c r="AM100" s="212"/>
      <c r="AN100" s="269"/>
      <c r="AO100" s="217"/>
      <c r="AP100" s="232"/>
      <c r="AQ100" s="229"/>
      <c r="AR100" s="212"/>
      <c r="AS100" s="212"/>
      <c r="AT100" s="247">
        <f t="shared" si="9"/>
        <v>90</v>
      </c>
      <c r="AU100" s="228"/>
      <c r="AV100" s="279">
        <v>90</v>
      </c>
    </row>
    <row r="101" spans="1:48" s="62" customFormat="1" ht="25.5" customHeight="1">
      <c r="A101" s="59"/>
      <c r="B101" s="60"/>
      <c r="C101" s="60"/>
      <c r="D101" s="22"/>
      <c r="E101" s="79"/>
      <c r="F101" s="173" t="s">
        <v>64</v>
      </c>
      <c r="G101" s="222" t="s">
        <v>140</v>
      </c>
      <c r="H101" s="193"/>
      <c r="I101" s="193"/>
      <c r="J101" s="193"/>
      <c r="K101" s="193"/>
      <c r="L101" s="243"/>
      <c r="M101" s="242"/>
      <c r="N101" s="243"/>
      <c r="O101" s="193"/>
      <c r="P101" s="243"/>
      <c r="Q101" s="193"/>
      <c r="R101" s="243"/>
      <c r="S101" s="193"/>
      <c r="T101" s="243"/>
      <c r="U101" s="203" t="s">
        <v>366</v>
      </c>
      <c r="V101" s="115"/>
      <c r="W101" s="114"/>
      <c r="X101" s="193"/>
      <c r="Y101" s="200"/>
      <c r="Z101" s="193"/>
      <c r="AA101" s="200"/>
      <c r="AB101" s="22"/>
      <c r="AC101" s="170"/>
      <c r="AD101" s="209"/>
      <c r="AE101" s="194"/>
      <c r="AF101" s="209"/>
      <c r="AG101" s="194"/>
      <c r="AH101" s="209"/>
      <c r="AI101" s="194"/>
      <c r="AJ101" s="232">
        <v>12</v>
      </c>
      <c r="AK101" s="170"/>
      <c r="AL101" s="272"/>
      <c r="AM101" s="212"/>
      <c r="AN101" s="269"/>
      <c r="AO101" s="217"/>
      <c r="AP101" s="232"/>
      <c r="AQ101" s="229"/>
      <c r="AR101" s="212"/>
      <c r="AS101" s="212"/>
      <c r="AT101" s="247">
        <f t="shared" si="9"/>
        <v>12</v>
      </c>
      <c r="AU101" s="228"/>
      <c r="AV101" s="279">
        <v>12</v>
      </c>
    </row>
    <row r="102" spans="1:48" s="62" customFormat="1" ht="31.5">
      <c r="A102" s="59"/>
      <c r="B102" s="60"/>
      <c r="C102" s="60"/>
      <c r="D102" s="22"/>
      <c r="E102" s="79"/>
      <c r="F102" s="51" t="s">
        <v>57</v>
      </c>
      <c r="G102" s="275" t="s">
        <v>121</v>
      </c>
      <c r="H102" s="115"/>
      <c r="I102" s="115"/>
      <c r="J102" s="115"/>
      <c r="K102" s="115"/>
      <c r="L102" s="276"/>
      <c r="M102" s="277"/>
      <c r="N102" s="276"/>
      <c r="O102" s="115"/>
      <c r="P102" s="276"/>
      <c r="Q102" s="115"/>
      <c r="R102" s="276"/>
      <c r="S102" s="115"/>
      <c r="T102" s="276"/>
      <c r="U102" s="278" t="s">
        <v>266</v>
      </c>
      <c r="V102" s="115"/>
      <c r="W102" s="114"/>
      <c r="X102" s="115"/>
      <c r="Y102" s="221"/>
      <c r="Z102" s="115"/>
      <c r="AA102" s="221"/>
      <c r="AB102" s="22"/>
      <c r="AC102" s="170"/>
      <c r="AD102" s="208"/>
      <c r="AE102" s="170"/>
      <c r="AF102" s="208"/>
      <c r="AG102" s="170"/>
      <c r="AH102" s="208"/>
      <c r="AI102" s="170"/>
      <c r="AJ102" s="233">
        <v>766</v>
      </c>
      <c r="AK102" s="170"/>
      <c r="AL102" s="270"/>
      <c r="AM102" s="170"/>
      <c r="AN102" s="270"/>
      <c r="AO102" s="170"/>
      <c r="AP102" s="233"/>
      <c r="AQ102" s="233"/>
      <c r="AR102" s="170"/>
      <c r="AS102" s="170"/>
      <c r="AT102" s="233">
        <f t="shared" si="9"/>
        <v>0</v>
      </c>
      <c r="AU102" s="386"/>
      <c r="AV102" s="233">
        <v>0</v>
      </c>
    </row>
    <row r="103" spans="1:48" s="62" customFormat="1" ht="31.5">
      <c r="A103" s="59"/>
      <c r="B103" s="60"/>
      <c r="C103" s="60"/>
      <c r="D103" s="22"/>
      <c r="E103" s="79"/>
      <c r="F103" s="51" t="s">
        <v>57</v>
      </c>
      <c r="G103" s="275" t="s">
        <v>121</v>
      </c>
      <c r="H103" s="115"/>
      <c r="I103" s="115"/>
      <c r="J103" s="115"/>
      <c r="K103" s="115"/>
      <c r="L103" s="276"/>
      <c r="M103" s="277"/>
      <c r="N103" s="276"/>
      <c r="O103" s="115"/>
      <c r="P103" s="276"/>
      <c r="Q103" s="115"/>
      <c r="R103" s="276"/>
      <c r="S103" s="115"/>
      <c r="T103" s="276"/>
      <c r="U103" s="278" t="s">
        <v>266</v>
      </c>
      <c r="V103" s="115"/>
      <c r="W103" s="114"/>
      <c r="X103" s="115"/>
      <c r="Y103" s="221"/>
      <c r="Z103" s="115"/>
      <c r="AA103" s="221"/>
      <c r="AB103" s="22"/>
      <c r="AC103" s="170"/>
      <c r="AD103" s="208"/>
      <c r="AE103" s="170"/>
      <c r="AF103" s="208"/>
      <c r="AG103" s="170"/>
      <c r="AH103" s="208"/>
      <c r="AI103" s="170"/>
      <c r="AJ103" s="233">
        <v>450</v>
      </c>
      <c r="AK103" s="170"/>
      <c r="AL103" s="270"/>
      <c r="AM103" s="170"/>
      <c r="AN103" s="270"/>
      <c r="AO103" s="170"/>
      <c r="AP103" s="233"/>
      <c r="AQ103" s="233"/>
      <c r="AR103" s="170"/>
      <c r="AS103" s="170"/>
      <c r="AT103" s="233">
        <f t="shared" si="9"/>
        <v>0</v>
      </c>
      <c r="AU103" s="386"/>
      <c r="AV103" s="233">
        <v>0</v>
      </c>
    </row>
    <row r="104" spans="1:48" s="62" customFormat="1" ht="31.5">
      <c r="A104" s="59"/>
      <c r="B104" s="60"/>
      <c r="C104" s="60"/>
      <c r="D104" s="22"/>
      <c r="E104" s="79"/>
      <c r="F104" s="51" t="s">
        <v>57</v>
      </c>
      <c r="G104" s="275" t="s">
        <v>279</v>
      </c>
      <c r="H104" s="115"/>
      <c r="I104" s="115"/>
      <c r="J104" s="115"/>
      <c r="K104" s="115"/>
      <c r="L104" s="276"/>
      <c r="M104" s="277"/>
      <c r="N104" s="276"/>
      <c r="O104" s="115"/>
      <c r="P104" s="276"/>
      <c r="Q104" s="115"/>
      <c r="R104" s="276"/>
      <c r="S104" s="115"/>
      <c r="T104" s="276"/>
      <c r="U104" s="278" t="s">
        <v>266</v>
      </c>
      <c r="V104" s="115"/>
      <c r="W104" s="114"/>
      <c r="X104" s="115"/>
      <c r="Y104" s="221"/>
      <c r="Z104" s="115"/>
      <c r="AA104" s="221"/>
      <c r="AB104" s="22"/>
      <c r="AC104" s="170"/>
      <c r="AD104" s="208"/>
      <c r="AE104" s="170"/>
      <c r="AF104" s="208"/>
      <c r="AG104" s="170"/>
      <c r="AH104" s="208"/>
      <c r="AI104" s="170"/>
      <c r="AJ104" s="233">
        <v>610</v>
      </c>
      <c r="AK104" s="170"/>
      <c r="AL104" s="270"/>
      <c r="AM104" s="170"/>
      <c r="AN104" s="270"/>
      <c r="AO104" s="170"/>
      <c r="AP104" s="233"/>
      <c r="AQ104" s="233"/>
      <c r="AR104" s="170"/>
      <c r="AS104" s="170"/>
      <c r="AT104" s="233">
        <f t="shared" si="9"/>
        <v>0</v>
      </c>
      <c r="AU104" s="386"/>
      <c r="AV104" s="233">
        <v>0</v>
      </c>
    </row>
    <row r="105" spans="1:48" s="62" customFormat="1" ht="31.5">
      <c r="A105" s="59"/>
      <c r="B105" s="60"/>
      <c r="C105" s="60"/>
      <c r="D105" s="22"/>
      <c r="E105" s="79"/>
      <c r="F105" s="51" t="s">
        <v>57</v>
      </c>
      <c r="G105" s="275" t="s">
        <v>279</v>
      </c>
      <c r="H105" s="115"/>
      <c r="I105" s="115"/>
      <c r="J105" s="115"/>
      <c r="K105" s="115"/>
      <c r="L105" s="276"/>
      <c r="M105" s="277"/>
      <c r="N105" s="276"/>
      <c r="O105" s="115"/>
      <c r="P105" s="276"/>
      <c r="Q105" s="115"/>
      <c r="R105" s="276"/>
      <c r="S105" s="115"/>
      <c r="T105" s="276"/>
      <c r="U105" s="278" t="s">
        <v>284</v>
      </c>
      <c r="V105" s="115"/>
      <c r="W105" s="114"/>
      <c r="X105" s="115"/>
      <c r="Y105" s="221"/>
      <c r="Z105" s="115"/>
      <c r="AA105" s="221"/>
      <c r="AB105" s="22"/>
      <c r="AC105" s="170"/>
      <c r="AD105" s="208"/>
      <c r="AE105" s="170"/>
      <c r="AF105" s="208"/>
      <c r="AG105" s="170"/>
      <c r="AH105" s="208"/>
      <c r="AI105" s="170"/>
      <c r="AJ105" s="233">
        <v>723</v>
      </c>
      <c r="AK105" s="170"/>
      <c r="AL105" s="270"/>
      <c r="AM105" s="170"/>
      <c r="AN105" s="270"/>
      <c r="AO105" s="170"/>
      <c r="AP105" s="233"/>
      <c r="AQ105" s="233"/>
      <c r="AR105" s="170"/>
      <c r="AS105" s="170"/>
      <c r="AT105" s="233">
        <f t="shared" si="9"/>
        <v>0</v>
      </c>
      <c r="AU105" s="386"/>
      <c r="AV105" s="233">
        <v>0</v>
      </c>
    </row>
    <row r="106" spans="1:48" s="62" customFormat="1" ht="31.5">
      <c r="A106" s="59"/>
      <c r="B106" s="60"/>
      <c r="C106" s="60"/>
      <c r="D106" s="22"/>
      <c r="E106" s="79"/>
      <c r="F106" s="51" t="s">
        <v>57</v>
      </c>
      <c r="G106" s="275" t="s">
        <v>279</v>
      </c>
      <c r="H106" s="115"/>
      <c r="I106" s="115"/>
      <c r="J106" s="115"/>
      <c r="K106" s="115"/>
      <c r="L106" s="276"/>
      <c r="M106" s="277"/>
      <c r="N106" s="276"/>
      <c r="O106" s="115"/>
      <c r="P106" s="276"/>
      <c r="Q106" s="115"/>
      <c r="R106" s="276"/>
      <c r="S106" s="115"/>
      <c r="T106" s="276"/>
      <c r="U106" s="278" t="s">
        <v>311</v>
      </c>
      <c r="V106" s="115"/>
      <c r="W106" s="114"/>
      <c r="X106" s="115"/>
      <c r="Y106" s="221"/>
      <c r="Z106" s="115"/>
      <c r="AA106" s="221"/>
      <c r="AB106" s="22"/>
      <c r="AC106" s="170"/>
      <c r="AD106" s="208"/>
      <c r="AE106" s="170"/>
      <c r="AF106" s="208"/>
      <c r="AG106" s="170"/>
      <c r="AH106" s="208"/>
      <c r="AI106" s="170"/>
      <c r="AJ106" s="233">
        <v>724</v>
      </c>
      <c r="AK106" s="170"/>
      <c r="AL106" s="270"/>
      <c r="AM106" s="170"/>
      <c r="AN106" s="270"/>
      <c r="AO106" s="170"/>
      <c r="AP106" s="233"/>
      <c r="AQ106" s="233"/>
      <c r="AR106" s="170"/>
      <c r="AS106" s="170"/>
      <c r="AT106" s="233">
        <f t="shared" si="9"/>
        <v>0</v>
      </c>
      <c r="AU106" s="386"/>
      <c r="AV106" s="233">
        <v>0</v>
      </c>
    </row>
    <row r="107" spans="1:48" s="62" customFormat="1" ht="31.5">
      <c r="A107" s="59"/>
      <c r="B107" s="60"/>
      <c r="C107" s="60"/>
      <c r="D107" s="22"/>
      <c r="E107" s="79"/>
      <c r="F107" s="150" t="s">
        <v>57</v>
      </c>
      <c r="G107" s="222" t="s">
        <v>279</v>
      </c>
      <c r="H107" s="193"/>
      <c r="I107" s="193"/>
      <c r="J107" s="193"/>
      <c r="K107" s="193"/>
      <c r="L107" s="243"/>
      <c r="M107" s="242"/>
      <c r="N107" s="243"/>
      <c r="O107" s="193"/>
      <c r="P107" s="243"/>
      <c r="Q107" s="193"/>
      <c r="R107" s="243"/>
      <c r="S107" s="193"/>
      <c r="T107" s="243"/>
      <c r="U107" s="203" t="s">
        <v>311</v>
      </c>
      <c r="V107" s="115"/>
      <c r="W107" s="114"/>
      <c r="X107" s="193"/>
      <c r="Y107" s="200"/>
      <c r="Z107" s="193"/>
      <c r="AA107" s="200"/>
      <c r="AB107" s="22"/>
      <c r="AC107" s="170"/>
      <c r="AD107" s="209"/>
      <c r="AE107" s="194"/>
      <c r="AF107" s="209"/>
      <c r="AG107" s="194"/>
      <c r="AH107" s="209"/>
      <c r="AI107" s="194"/>
      <c r="AJ107" s="232">
        <v>726</v>
      </c>
      <c r="AK107" s="170"/>
      <c r="AL107" s="272"/>
      <c r="AM107" s="212"/>
      <c r="AN107" s="269"/>
      <c r="AO107" s="217"/>
      <c r="AP107" s="232"/>
      <c r="AQ107" s="229"/>
      <c r="AR107" s="212"/>
      <c r="AS107" s="212"/>
      <c r="AT107" s="247">
        <f t="shared" si="9"/>
        <v>139</v>
      </c>
      <c r="AU107" s="228"/>
      <c r="AV107" s="279">
        <v>139</v>
      </c>
    </row>
    <row r="108" spans="1:48" s="62" customFormat="1" ht="31.5">
      <c r="A108" s="59"/>
      <c r="B108" s="60"/>
      <c r="C108" s="60"/>
      <c r="D108" s="22"/>
      <c r="E108" s="79"/>
      <c r="F108" s="150" t="s">
        <v>57</v>
      </c>
      <c r="G108" s="222" t="s">
        <v>279</v>
      </c>
      <c r="H108" s="193"/>
      <c r="I108" s="193"/>
      <c r="J108" s="193"/>
      <c r="K108" s="193"/>
      <c r="L108" s="243"/>
      <c r="M108" s="242"/>
      <c r="N108" s="243"/>
      <c r="O108" s="193"/>
      <c r="P108" s="243"/>
      <c r="Q108" s="193"/>
      <c r="R108" s="243"/>
      <c r="S108" s="193"/>
      <c r="T108" s="243"/>
      <c r="U108" s="203" t="s">
        <v>311</v>
      </c>
      <c r="V108" s="115"/>
      <c r="W108" s="114"/>
      <c r="X108" s="193"/>
      <c r="Y108" s="200"/>
      <c r="Z108" s="193"/>
      <c r="AA108" s="200"/>
      <c r="AB108" s="22"/>
      <c r="AC108" s="170"/>
      <c r="AD108" s="209"/>
      <c r="AE108" s="194"/>
      <c r="AF108" s="209"/>
      <c r="AG108" s="194"/>
      <c r="AH108" s="209"/>
      <c r="AI108" s="194"/>
      <c r="AJ108" s="232">
        <v>544</v>
      </c>
      <c r="AK108" s="170"/>
      <c r="AL108" s="272"/>
      <c r="AM108" s="212"/>
      <c r="AN108" s="269"/>
      <c r="AO108" s="217"/>
      <c r="AP108" s="232"/>
      <c r="AQ108" s="229"/>
      <c r="AR108" s="212"/>
      <c r="AS108" s="212"/>
      <c r="AT108" s="247">
        <f t="shared" si="9"/>
        <v>544</v>
      </c>
      <c r="AU108" s="228"/>
      <c r="AV108" s="279">
        <v>544</v>
      </c>
    </row>
    <row r="109" spans="1:48" s="62" customFormat="1" ht="31.5">
      <c r="A109" s="59"/>
      <c r="B109" s="60"/>
      <c r="C109" s="60"/>
      <c r="D109" s="22"/>
      <c r="E109" s="79"/>
      <c r="F109" s="150" t="s">
        <v>57</v>
      </c>
      <c r="G109" s="222" t="s">
        <v>279</v>
      </c>
      <c r="H109" s="193"/>
      <c r="I109" s="193"/>
      <c r="J109" s="193"/>
      <c r="K109" s="193"/>
      <c r="L109" s="243"/>
      <c r="M109" s="242"/>
      <c r="N109" s="243"/>
      <c r="O109" s="193"/>
      <c r="P109" s="243"/>
      <c r="Q109" s="193"/>
      <c r="R109" s="243"/>
      <c r="S109" s="193"/>
      <c r="T109" s="243"/>
      <c r="U109" s="203" t="s">
        <v>311</v>
      </c>
      <c r="V109" s="115"/>
      <c r="W109" s="114"/>
      <c r="X109" s="193"/>
      <c r="Y109" s="200"/>
      <c r="Z109" s="193"/>
      <c r="AA109" s="200"/>
      <c r="AB109" s="22"/>
      <c r="AC109" s="170"/>
      <c r="AD109" s="209"/>
      <c r="AE109" s="194"/>
      <c r="AF109" s="209"/>
      <c r="AG109" s="194"/>
      <c r="AH109" s="209"/>
      <c r="AI109" s="194"/>
      <c r="AJ109" s="232">
        <v>30</v>
      </c>
      <c r="AK109" s="170"/>
      <c r="AL109" s="272"/>
      <c r="AM109" s="212"/>
      <c r="AN109" s="269"/>
      <c r="AO109" s="217"/>
      <c r="AP109" s="232"/>
      <c r="AQ109" s="229"/>
      <c r="AR109" s="212"/>
      <c r="AS109" s="212"/>
      <c r="AT109" s="247">
        <f t="shared" si="9"/>
        <v>30</v>
      </c>
      <c r="AU109" s="228"/>
      <c r="AV109" s="279">
        <v>30</v>
      </c>
    </row>
    <row r="110" spans="1:48" s="62" customFormat="1" ht="26.25" customHeight="1">
      <c r="A110" s="59"/>
      <c r="B110" s="60"/>
      <c r="C110" s="60"/>
      <c r="D110" s="22"/>
      <c r="E110" s="79" t="s">
        <v>24</v>
      </c>
      <c r="F110" s="161" t="s">
        <v>61</v>
      </c>
      <c r="G110" s="222" t="s">
        <v>127</v>
      </c>
      <c r="H110" s="193" t="s">
        <v>91</v>
      </c>
      <c r="I110" s="193" t="s">
        <v>91</v>
      </c>
      <c r="J110" s="193">
        <v>48</v>
      </c>
      <c r="K110" s="193">
        <v>3</v>
      </c>
      <c r="L110" s="243">
        <v>71.97</v>
      </c>
      <c r="M110" s="242">
        <f t="shared" ref="M110:M111" si="10">J110*K110</f>
        <v>144</v>
      </c>
      <c r="N110" s="243">
        <f t="shared" ref="N110:N111" si="11">L110*M110</f>
        <v>10363.68</v>
      </c>
      <c r="O110" s="193">
        <v>14</v>
      </c>
      <c r="P110" s="243">
        <v>714.98</v>
      </c>
      <c r="Q110" s="193"/>
      <c r="R110" s="243"/>
      <c r="S110" s="193"/>
      <c r="T110" s="243"/>
      <c r="U110" s="203" t="s">
        <v>128</v>
      </c>
      <c r="V110" s="115">
        <v>135</v>
      </c>
      <c r="W110" s="114">
        <v>42761</v>
      </c>
      <c r="X110" s="193" t="s">
        <v>126</v>
      </c>
      <c r="Y110" s="200">
        <v>43130</v>
      </c>
      <c r="Z110" s="193"/>
      <c r="AA110" s="193"/>
      <c r="AB110" s="22">
        <v>0</v>
      </c>
      <c r="AC110" s="170">
        <v>0</v>
      </c>
      <c r="AD110" s="209">
        <v>14</v>
      </c>
      <c r="AE110" s="194">
        <v>774.48</v>
      </c>
      <c r="AF110" s="209"/>
      <c r="AG110" s="194"/>
      <c r="AH110" s="209"/>
      <c r="AI110" s="194"/>
      <c r="AJ110" s="232"/>
      <c r="AK110" s="170">
        <f t="shared" si="5"/>
        <v>774.48</v>
      </c>
      <c r="AL110" s="272">
        <v>0</v>
      </c>
      <c r="AM110" s="212">
        <v>0</v>
      </c>
      <c r="AN110" s="269">
        <v>14</v>
      </c>
      <c r="AO110" s="217">
        <f t="shared" ref="AO110:AO111" si="12">AC110+AK110-AM110</f>
        <v>774.48</v>
      </c>
      <c r="AP110" s="232"/>
      <c r="AQ110" s="229"/>
      <c r="AR110" s="212">
        <v>55.32</v>
      </c>
      <c r="AS110" s="212">
        <f t="shared" si="3"/>
        <v>0</v>
      </c>
      <c r="AT110" s="247">
        <f t="shared" si="9"/>
        <v>8</v>
      </c>
      <c r="AU110" s="228">
        <f t="shared" si="4"/>
        <v>442.56</v>
      </c>
      <c r="AV110" s="279">
        <v>8</v>
      </c>
    </row>
    <row r="111" spans="1:48" s="62" customFormat="1" ht="26.25" customHeight="1">
      <c r="A111" s="59"/>
      <c r="B111" s="60"/>
      <c r="C111" s="60"/>
      <c r="D111" s="22"/>
      <c r="E111" s="79" t="s">
        <v>24</v>
      </c>
      <c r="F111" s="161" t="s">
        <v>61</v>
      </c>
      <c r="G111" s="222" t="s">
        <v>127</v>
      </c>
      <c r="H111" s="193" t="s">
        <v>91</v>
      </c>
      <c r="I111" s="193" t="s">
        <v>91</v>
      </c>
      <c r="J111" s="193"/>
      <c r="K111" s="193"/>
      <c r="L111" s="243"/>
      <c r="M111" s="242">
        <f t="shared" si="10"/>
        <v>0</v>
      </c>
      <c r="N111" s="243">
        <f t="shared" si="11"/>
        <v>0</v>
      </c>
      <c r="O111" s="193"/>
      <c r="P111" s="243"/>
      <c r="Q111" s="193"/>
      <c r="R111" s="243"/>
      <c r="S111" s="193"/>
      <c r="T111" s="243"/>
      <c r="U111" s="203" t="s">
        <v>171</v>
      </c>
      <c r="V111" s="115">
        <v>834</v>
      </c>
      <c r="W111" s="114">
        <v>43222</v>
      </c>
      <c r="X111" s="193" t="s">
        <v>162</v>
      </c>
      <c r="Y111" s="200">
        <v>43242</v>
      </c>
      <c r="Z111" s="193"/>
      <c r="AA111" s="193"/>
      <c r="AB111" s="22">
        <v>0</v>
      </c>
      <c r="AC111" s="170">
        <v>0</v>
      </c>
      <c r="AD111" s="209">
        <v>26</v>
      </c>
      <c r="AE111" s="194">
        <v>1438.32</v>
      </c>
      <c r="AF111" s="209"/>
      <c r="AG111" s="194"/>
      <c r="AH111" s="209"/>
      <c r="AI111" s="194"/>
      <c r="AJ111" s="232"/>
      <c r="AK111" s="170">
        <f t="shared" si="5"/>
        <v>1438.32</v>
      </c>
      <c r="AL111" s="272">
        <v>0</v>
      </c>
      <c r="AM111" s="212">
        <v>0</v>
      </c>
      <c r="AN111" s="269">
        <v>26</v>
      </c>
      <c r="AO111" s="217">
        <f t="shared" si="12"/>
        <v>1438.32</v>
      </c>
      <c r="AP111" s="232"/>
      <c r="AQ111" s="229"/>
      <c r="AR111" s="212">
        <v>55.32</v>
      </c>
      <c r="AS111" s="212">
        <f t="shared" si="3"/>
        <v>0</v>
      </c>
      <c r="AT111" s="247">
        <f t="shared" si="9"/>
        <v>26</v>
      </c>
      <c r="AU111" s="228">
        <f t="shared" si="4"/>
        <v>1438.32</v>
      </c>
      <c r="AV111" s="279">
        <v>26</v>
      </c>
    </row>
    <row r="112" spans="1:48" s="62" customFormat="1" ht="38.25">
      <c r="A112" s="59"/>
      <c r="B112" s="60"/>
      <c r="C112" s="60"/>
      <c r="D112" s="22"/>
      <c r="E112" s="79"/>
      <c r="F112" s="632" t="s">
        <v>339</v>
      </c>
      <c r="G112" s="222" t="s">
        <v>340</v>
      </c>
      <c r="H112" s="193"/>
      <c r="I112" s="193"/>
      <c r="J112" s="193"/>
      <c r="K112" s="193"/>
      <c r="L112" s="243"/>
      <c r="M112" s="242"/>
      <c r="N112" s="243"/>
      <c r="O112" s="193"/>
      <c r="P112" s="243"/>
      <c r="Q112" s="193"/>
      <c r="R112" s="243"/>
      <c r="S112" s="193"/>
      <c r="T112" s="243"/>
      <c r="U112" s="607" t="s">
        <v>341</v>
      </c>
      <c r="V112" s="608"/>
      <c r="W112" s="609"/>
      <c r="X112" s="610"/>
      <c r="Y112" s="611"/>
      <c r="Z112" s="610"/>
      <c r="AA112" s="610"/>
      <c r="AB112" s="22"/>
      <c r="AC112" s="170"/>
      <c r="AD112" s="209"/>
      <c r="AE112" s="194"/>
      <c r="AF112" s="209"/>
      <c r="AG112" s="194"/>
      <c r="AH112" s="209"/>
      <c r="AI112" s="194"/>
      <c r="AJ112" s="232">
        <v>37</v>
      </c>
      <c r="AK112" s="170"/>
      <c r="AL112" s="272"/>
      <c r="AM112" s="212"/>
      <c r="AN112" s="269"/>
      <c r="AO112" s="217"/>
      <c r="AP112" s="232"/>
      <c r="AQ112" s="229"/>
      <c r="AR112" s="212"/>
      <c r="AS112" s="212"/>
      <c r="AT112" s="247">
        <f t="shared" si="9"/>
        <v>37</v>
      </c>
      <c r="AU112" s="228"/>
      <c r="AV112" s="279">
        <v>37</v>
      </c>
    </row>
    <row r="113" spans="1:48" s="62" customFormat="1" ht="38.25">
      <c r="A113" s="59"/>
      <c r="B113" s="60"/>
      <c r="C113" s="60"/>
      <c r="D113" s="22"/>
      <c r="E113" s="79"/>
      <c r="F113" s="632" t="s">
        <v>339</v>
      </c>
      <c r="G113" s="222" t="s">
        <v>340</v>
      </c>
      <c r="H113" s="193"/>
      <c r="I113" s="193"/>
      <c r="J113" s="193"/>
      <c r="K113" s="193"/>
      <c r="L113" s="243"/>
      <c r="M113" s="242"/>
      <c r="N113" s="243"/>
      <c r="O113" s="193"/>
      <c r="P113" s="243"/>
      <c r="Q113" s="193"/>
      <c r="R113" s="243"/>
      <c r="S113" s="193"/>
      <c r="T113" s="243"/>
      <c r="U113" s="607" t="s">
        <v>345</v>
      </c>
      <c r="V113" s="608"/>
      <c r="W113" s="609"/>
      <c r="X113" s="610"/>
      <c r="Y113" s="611"/>
      <c r="Z113" s="610"/>
      <c r="AA113" s="610"/>
      <c r="AB113" s="22"/>
      <c r="AC113" s="170"/>
      <c r="AD113" s="209"/>
      <c r="AE113" s="194"/>
      <c r="AF113" s="209"/>
      <c r="AG113" s="194"/>
      <c r="AH113" s="209"/>
      <c r="AI113" s="194"/>
      <c r="AJ113" s="232">
        <v>36</v>
      </c>
      <c r="AK113" s="170"/>
      <c r="AL113" s="272"/>
      <c r="AM113" s="212"/>
      <c r="AN113" s="269"/>
      <c r="AO113" s="217"/>
      <c r="AP113" s="232"/>
      <c r="AQ113" s="229"/>
      <c r="AR113" s="212"/>
      <c r="AS113" s="212"/>
      <c r="AT113" s="247">
        <f t="shared" si="9"/>
        <v>36</v>
      </c>
      <c r="AU113" s="228"/>
      <c r="AV113" s="279">
        <v>36</v>
      </c>
    </row>
    <row r="114" spans="1:48" s="62" customFormat="1" ht="38.25">
      <c r="A114" s="59"/>
      <c r="B114" s="60"/>
      <c r="C114" s="60"/>
      <c r="D114" s="749"/>
      <c r="E114" s="606"/>
      <c r="F114" s="632" t="s">
        <v>339</v>
      </c>
      <c r="G114" s="222" t="s">
        <v>340</v>
      </c>
      <c r="H114" s="193"/>
      <c r="I114" s="193"/>
      <c r="J114" s="193"/>
      <c r="K114" s="193"/>
      <c r="L114" s="243"/>
      <c r="M114" s="242"/>
      <c r="N114" s="243"/>
      <c r="O114" s="193"/>
      <c r="P114" s="243"/>
      <c r="Q114" s="193"/>
      <c r="R114" s="243"/>
      <c r="S114" s="193"/>
      <c r="T114" s="243"/>
      <c r="U114" s="607" t="s">
        <v>370</v>
      </c>
      <c r="V114" s="608"/>
      <c r="W114" s="609"/>
      <c r="X114" s="610"/>
      <c r="Y114" s="611"/>
      <c r="Z114" s="610"/>
      <c r="AA114" s="610"/>
      <c r="AB114" s="22"/>
      <c r="AC114" s="170"/>
      <c r="AD114" s="209"/>
      <c r="AE114" s="194"/>
      <c r="AF114" s="209"/>
      <c r="AG114" s="194"/>
      <c r="AH114" s="209"/>
      <c r="AI114" s="194"/>
      <c r="AJ114" s="232">
        <v>39</v>
      </c>
      <c r="AK114" s="170"/>
      <c r="AL114" s="272"/>
      <c r="AM114" s="212"/>
      <c r="AN114" s="269"/>
      <c r="AO114" s="217"/>
      <c r="AP114" s="232"/>
      <c r="AQ114" s="229"/>
      <c r="AR114" s="212"/>
      <c r="AS114" s="212"/>
      <c r="AT114" s="247">
        <f t="shared" si="9"/>
        <v>39</v>
      </c>
      <c r="AU114" s="228"/>
      <c r="AV114" s="279">
        <v>39</v>
      </c>
    </row>
    <row r="115" spans="1:48" s="62" customFormat="1" ht="38.25">
      <c r="A115" s="59"/>
      <c r="B115" s="60"/>
      <c r="C115" s="60"/>
      <c r="D115" s="749"/>
      <c r="E115" s="606"/>
      <c r="F115" s="632" t="s">
        <v>339</v>
      </c>
      <c r="G115" s="222" t="s">
        <v>340</v>
      </c>
      <c r="H115" s="193"/>
      <c r="I115" s="193"/>
      <c r="J115" s="193"/>
      <c r="K115" s="193"/>
      <c r="L115" s="243"/>
      <c r="M115" s="242"/>
      <c r="N115" s="243"/>
      <c r="O115" s="193"/>
      <c r="P115" s="243"/>
      <c r="Q115" s="193"/>
      <c r="R115" s="243"/>
      <c r="S115" s="193"/>
      <c r="T115" s="243"/>
      <c r="U115" s="607" t="s">
        <v>371</v>
      </c>
      <c r="V115" s="608"/>
      <c r="W115" s="609"/>
      <c r="X115" s="610"/>
      <c r="Y115" s="611"/>
      <c r="Z115" s="610"/>
      <c r="AA115" s="610"/>
      <c r="AB115" s="22"/>
      <c r="AC115" s="170"/>
      <c r="AD115" s="209"/>
      <c r="AE115" s="194"/>
      <c r="AF115" s="209"/>
      <c r="AG115" s="194"/>
      <c r="AH115" s="209"/>
      <c r="AI115" s="194"/>
      <c r="AJ115" s="232">
        <v>39</v>
      </c>
      <c r="AK115" s="170"/>
      <c r="AL115" s="272"/>
      <c r="AM115" s="212"/>
      <c r="AN115" s="269"/>
      <c r="AO115" s="217"/>
      <c r="AP115" s="232"/>
      <c r="AQ115" s="229"/>
      <c r="AR115" s="212"/>
      <c r="AS115" s="212"/>
      <c r="AT115" s="247">
        <f t="shared" si="9"/>
        <v>39</v>
      </c>
      <c r="AU115" s="228"/>
      <c r="AV115" s="279">
        <v>39</v>
      </c>
    </row>
    <row r="116" spans="1:48" s="251" customFormat="1" ht="21" customHeight="1">
      <c r="A116" s="20" t="s">
        <v>11</v>
      </c>
      <c r="B116" s="20"/>
      <c r="C116" s="20"/>
      <c r="D116" s="695" t="s">
        <v>34</v>
      </c>
      <c r="E116" s="696"/>
      <c r="F116" s="697"/>
      <c r="G116" s="246"/>
      <c r="H116" s="246"/>
      <c r="I116" s="246"/>
      <c r="J116" s="246"/>
      <c r="K116" s="247">
        <f>SUM(K17:K111)</f>
        <v>24</v>
      </c>
      <c r="L116" s="248"/>
      <c r="M116" s="246"/>
      <c r="N116" s="249">
        <f>SUM(N17:N111)</f>
        <v>2156307.44</v>
      </c>
      <c r="O116" s="248"/>
      <c r="P116" s="249">
        <f>SUM(P17:P111)</f>
        <v>1298976.4000000001</v>
      </c>
      <c r="Q116" s="248"/>
      <c r="R116" s="249">
        <f>SUM(R17:R111)</f>
        <v>928054.79999999993</v>
      </c>
      <c r="S116" s="248"/>
      <c r="T116" s="249">
        <f>SUM(T17:T111)</f>
        <v>466648.98</v>
      </c>
      <c r="U116" s="291" t="s">
        <v>156</v>
      </c>
      <c r="V116" s="291" t="s">
        <v>156</v>
      </c>
      <c r="W116" s="291" t="s">
        <v>156</v>
      </c>
      <c r="X116" s="250" t="s">
        <v>156</v>
      </c>
      <c r="Y116" s="250" t="s">
        <v>156</v>
      </c>
      <c r="Z116" s="250" t="s">
        <v>156</v>
      </c>
      <c r="AA116" s="250" t="s">
        <v>156</v>
      </c>
      <c r="AB116" s="176">
        <f>SUM(AB17:AB53)</f>
        <v>140</v>
      </c>
      <c r="AC116" s="171">
        <f>SUM(AC17:AC81)</f>
        <v>77947.959999999992</v>
      </c>
      <c r="AD116" s="210">
        <f t="shared" ref="AD116:AQ116" si="13">SUM(AD17:AD111)</f>
        <v>4404</v>
      </c>
      <c r="AE116" s="195">
        <f t="shared" si="13"/>
        <v>925803.50999999989</v>
      </c>
      <c r="AF116" s="210">
        <f t="shared" si="13"/>
        <v>0</v>
      </c>
      <c r="AG116" s="195">
        <f t="shared" si="13"/>
        <v>0</v>
      </c>
      <c r="AH116" s="210">
        <f t="shared" si="13"/>
        <v>0</v>
      </c>
      <c r="AI116" s="195">
        <f t="shared" si="13"/>
        <v>0</v>
      </c>
      <c r="AJ116" s="210">
        <f>SUM(AJ17:AJ115)</f>
        <v>10528</v>
      </c>
      <c r="AK116" s="175">
        <f t="shared" si="13"/>
        <v>925803.50999999989</v>
      </c>
      <c r="AL116" s="213">
        <f t="shared" si="13"/>
        <v>742</v>
      </c>
      <c r="AM116" s="214">
        <f t="shared" si="13"/>
        <v>175808.55000000005</v>
      </c>
      <c r="AN116" s="218">
        <f t="shared" si="13"/>
        <v>3802</v>
      </c>
      <c r="AO116" s="219">
        <f t="shared" si="13"/>
        <v>811349.99000000011</v>
      </c>
      <c r="AP116" s="286">
        <f t="shared" si="13"/>
        <v>0</v>
      </c>
      <c r="AQ116" s="287">
        <f t="shared" si="13"/>
        <v>0</v>
      </c>
      <c r="AR116" s="226" t="s">
        <v>156</v>
      </c>
      <c r="AS116" s="226">
        <f>SUM(AS17:AS111)</f>
        <v>0</v>
      </c>
      <c r="AT116" s="227">
        <f>SUM(AT17:AT115)</f>
        <v>5732</v>
      </c>
      <c r="AU116" s="228">
        <f>SUM(AU17:AU111)</f>
        <v>162672.95999999999</v>
      </c>
      <c r="AV116" s="510">
        <f>SUM(AV17:AV115)</f>
        <v>5732</v>
      </c>
    </row>
    <row r="117" spans="1:48" s="336" customFormat="1" ht="21" customHeight="1">
      <c r="A117" s="20"/>
      <c r="B117" s="20"/>
      <c r="C117" s="20"/>
      <c r="D117" s="294"/>
      <c r="E117" s="294"/>
      <c r="F117" s="294"/>
      <c r="G117" s="330"/>
      <c r="H117" s="330"/>
      <c r="I117" s="330"/>
      <c r="J117" s="330"/>
      <c r="K117" s="331"/>
      <c r="L117" s="332"/>
      <c r="M117" s="330"/>
      <c r="N117" s="333"/>
      <c r="O117" s="332"/>
      <c r="P117" s="333"/>
      <c r="Q117" s="332"/>
      <c r="R117" s="333"/>
      <c r="S117" s="332"/>
      <c r="T117" s="333"/>
      <c r="U117" s="295"/>
      <c r="V117" s="295"/>
      <c r="W117" s="295"/>
      <c r="X117" s="295"/>
      <c r="Y117" s="295"/>
      <c r="Z117" s="295"/>
      <c r="AA117" s="295"/>
      <c r="AB117" s="296"/>
      <c r="AC117" s="297"/>
      <c r="AD117" s="296"/>
      <c r="AE117" s="297"/>
      <c r="AF117" s="296"/>
      <c r="AG117" s="297"/>
      <c r="AH117" s="296"/>
      <c r="AI117" s="297"/>
      <c r="AJ117" s="478"/>
      <c r="AK117" s="299"/>
      <c r="AL117" s="334"/>
      <c r="AM117" s="297"/>
      <c r="AN117" s="296"/>
      <c r="AO117" s="297"/>
      <c r="AP117" s="298"/>
      <c r="AQ117" s="335"/>
      <c r="AR117" s="333"/>
      <c r="AS117" s="333"/>
      <c r="AT117" s="331"/>
      <c r="AU117" s="333"/>
      <c r="AV117" s="331"/>
    </row>
    <row r="118" spans="1:48" s="336" customFormat="1" ht="21" hidden="1" customHeight="1">
      <c r="A118" s="20"/>
      <c r="B118" s="20"/>
      <c r="C118" s="20"/>
      <c r="D118" s="294"/>
      <c r="E118" s="294"/>
      <c r="F118" s="294"/>
      <c r="G118" s="330"/>
      <c r="H118" s="330"/>
      <c r="I118" s="330"/>
      <c r="J118" s="330"/>
      <c r="K118" s="331"/>
      <c r="L118" s="332"/>
      <c r="M118" s="330"/>
      <c r="N118" s="333"/>
      <c r="O118" s="332"/>
      <c r="P118" s="333"/>
      <c r="Q118" s="332"/>
      <c r="R118" s="333"/>
      <c r="S118" s="332"/>
      <c r="T118" s="333"/>
      <c r="U118" s="295"/>
      <c r="V118" s="295"/>
      <c r="W118" s="295"/>
      <c r="X118" s="295"/>
      <c r="Y118" s="295"/>
      <c r="Z118" s="295"/>
      <c r="AA118" s="295"/>
      <c r="AB118" s="296"/>
      <c r="AC118" s="297"/>
      <c r="AD118" s="296"/>
      <c r="AE118" s="297"/>
      <c r="AF118" s="296"/>
      <c r="AG118" s="297"/>
      <c r="AH118" s="296"/>
      <c r="AI118" s="297"/>
      <c r="AJ118" s="478"/>
      <c r="AK118" s="299"/>
      <c r="AL118" s="334"/>
      <c r="AM118" s="297"/>
      <c r="AN118" s="296"/>
      <c r="AO118" s="297"/>
      <c r="AP118" s="298"/>
      <c r="AQ118" s="335"/>
      <c r="AR118" s="333"/>
      <c r="AS118" s="333"/>
      <c r="AT118" s="331"/>
      <c r="AU118" s="333"/>
      <c r="AV118" s="331"/>
    </row>
    <row r="119" spans="1:48" s="292" customFormat="1" ht="20.25" hidden="1">
      <c r="A119" s="301"/>
      <c r="B119" s="301"/>
      <c r="C119" s="301"/>
      <c r="D119" s="302"/>
      <c r="E119" s="301"/>
      <c r="F119" s="303" t="s">
        <v>205</v>
      </c>
      <c r="G119" s="303"/>
      <c r="H119" s="303" t="s">
        <v>208</v>
      </c>
      <c r="I119" s="303"/>
      <c r="J119" s="304"/>
      <c r="K119" s="304"/>
      <c r="L119" s="304"/>
      <c r="M119" s="304"/>
      <c r="N119" s="304"/>
      <c r="O119" s="304"/>
      <c r="P119" s="304"/>
      <c r="Q119" s="304"/>
      <c r="R119" s="304"/>
      <c r="S119" s="304"/>
      <c r="T119" s="304"/>
      <c r="U119" s="303"/>
      <c r="V119" s="303"/>
      <c r="X119" s="303"/>
      <c r="Y119" s="303"/>
      <c r="Z119" s="303"/>
      <c r="AA119" s="303" t="s">
        <v>208</v>
      </c>
      <c r="AB119" s="303"/>
      <c r="AC119" s="303"/>
      <c r="AD119" s="303"/>
      <c r="AE119" s="303"/>
      <c r="AF119" s="303"/>
      <c r="AG119" s="303"/>
      <c r="AH119" s="303"/>
      <c r="AI119" s="303"/>
      <c r="AJ119" s="479"/>
      <c r="AK119" s="303"/>
      <c r="AL119" s="301"/>
      <c r="AM119" s="303"/>
      <c r="AN119" s="305"/>
      <c r="AO119" s="306"/>
      <c r="AP119" s="307"/>
      <c r="AQ119" s="302"/>
      <c r="AR119" s="308"/>
      <c r="AS119" s="308"/>
      <c r="AT119" s="302"/>
      <c r="AU119" s="302"/>
      <c r="AV119" s="302"/>
    </row>
    <row r="120" spans="1:48" s="292" customFormat="1" ht="20.25" hidden="1">
      <c r="A120" s="301"/>
      <c r="B120" s="301"/>
      <c r="C120" s="301"/>
      <c r="D120" s="302"/>
      <c r="E120" s="301"/>
      <c r="F120" s="303"/>
      <c r="G120" s="303"/>
      <c r="H120" s="303"/>
      <c r="I120" s="303"/>
      <c r="J120" s="304"/>
      <c r="K120" s="304"/>
      <c r="L120" s="304"/>
      <c r="M120" s="304"/>
      <c r="N120" s="304"/>
      <c r="O120" s="304"/>
      <c r="P120" s="304"/>
      <c r="Q120" s="304"/>
      <c r="R120" s="304"/>
      <c r="S120" s="304"/>
      <c r="T120" s="304"/>
      <c r="U120" s="303"/>
      <c r="V120" s="303"/>
      <c r="X120" s="303"/>
      <c r="Y120" s="303"/>
      <c r="Z120" s="303"/>
      <c r="AA120" s="303"/>
      <c r="AB120" s="303"/>
      <c r="AC120" s="303"/>
      <c r="AD120" s="303"/>
      <c r="AE120" s="303"/>
      <c r="AF120" s="303"/>
      <c r="AG120" s="303"/>
      <c r="AH120" s="303"/>
      <c r="AI120" s="303"/>
      <c r="AJ120" s="479"/>
      <c r="AK120" s="303"/>
      <c r="AL120" s="301"/>
      <c r="AM120" s="303"/>
      <c r="AN120" s="305"/>
      <c r="AO120" s="306"/>
      <c r="AP120" s="307"/>
      <c r="AQ120" s="302"/>
      <c r="AR120" s="308"/>
      <c r="AS120" s="308"/>
      <c r="AT120" s="302"/>
      <c r="AU120" s="302"/>
      <c r="AV120" s="302"/>
    </row>
    <row r="121" spans="1:48" s="292" customFormat="1" ht="20.25" hidden="1">
      <c r="A121" s="301"/>
      <c r="B121" s="301"/>
      <c r="C121" s="301"/>
      <c r="D121" s="302"/>
      <c r="E121" s="301"/>
      <c r="F121" s="303"/>
      <c r="G121" s="303"/>
      <c r="H121" s="303"/>
      <c r="I121" s="303"/>
      <c r="J121" s="304"/>
      <c r="K121" s="304"/>
      <c r="L121" s="304"/>
      <c r="M121" s="304"/>
      <c r="N121" s="304"/>
      <c r="O121" s="304"/>
      <c r="P121" s="304"/>
      <c r="Q121" s="304"/>
      <c r="R121" s="304"/>
      <c r="S121" s="304"/>
      <c r="T121" s="304"/>
      <c r="U121" s="303"/>
      <c r="V121" s="303"/>
      <c r="X121" s="303"/>
      <c r="Y121" s="303"/>
      <c r="Z121" s="303"/>
      <c r="AA121" s="303"/>
      <c r="AB121" s="303"/>
      <c r="AC121" s="303"/>
      <c r="AD121" s="303"/>
      <c r="AE121" s="303"/>
      <c r="AF121" s="303"/>
      <c r="AG121" s="303"/>
      <c r="AH121" s="303"/>
      <c r="AI121" s="303"/>
      <c r="AJ121" s="479"/>
      <c r="AK121" s="303"/>
      <c r="AL121" s="301"/>
      <c r="AM121" s="303"/>
      <c r="AN121" s="305"/>
      <c r="AO121" s="306"/>
      <c r="AP121" s="307"/>
      <c r="AQ121" s="302"/>
      <c r="AR121" s="308"/>
      <c r="AS121" s="308"/>
      <c r="AT121" s="302"/>
      <c r="AU121" s="302"/>
      <c r="AV121" s="302"/>
    </row>
    <row r="122" spans="1:48" s="292" customFormat="1" ht="15" hidden="1" customHeight="1">
      <c r="A122" s="309"/>
      <c r="B122" s="309"/>
      <c r="C122" s="309"/>
      <c r="D122" s="302"/>
      <c r="E122" s="309"/>
      <c r="F122" s="310"/>
      <c r="G122" s="310"/>
      <c r="H122" s="308"/>
      <c r="I122" s="308"/>
      <c r="J122" s="304"/>
      <c r="K122" s="304"/>
      <c r="L122" s="304"/>
      <c r="M122" s="304"/>
      <c r="N122" s="304"/>
      <c r="O122" s="304"/>
      <c r="P122" s="304"/>
      <c r="Q122" s="304"/>
      <c r="R122" s="304"/>
      <c r="S122" s="304"/>
      <c r="T122" s="304"/>
      <c r="U122" s="308"/>
      <c r="V122" s="311"/>
      <c r="AA122" s="311"/>
      <c r="AJ122" s="480"/>
      <c r="AK122" s="312"/>
      <c r="AL122" s="309"/>
      <c r="AM122" s="313"/>
      <c r="AN122" s="305"/>
      <c r="AO122" s="306"/>
      <c r="AP122" s="307"/>
      <c r="AQ122" s="302"/>
      <c r="AR122" s="308"/>
      <c r="AS122" s="308"/>
      <c r="AT122" s="302"/>
      <c r="AU122" s="302"/>
      <c r="AV122" s="302"/>
    </row>
    <row r="123" spans="1:48" s="292" customFormat="1" ht="18" hidden="1" customHeight="1">
      <c r="A123" s="314" t="s">
        <v>12</v>
      </c>
      <c r="B123" s="314"/>
      <c r="C123" s="314"/>
      <c r="D123" s="315"/>
      <c r="E123" s="314"/>
      <c r="F123" s="316" t="s">
        <v>206</v>
      </c>
      <c r="G123" s="316"/>
      <c r="H123" s="736" t="s">
        <v>209</v>
      </c>
      <c r="I123" s="736"/>
      <c r="J123" s="736"/>
      <c r="K123" s="317"/>
      <c r="L123" s="317"/>
      <c r="M123" s="317"/>
      <c r="N123" s="317"/>
      <c r="O123" s="317"/>
      <c r="P123" s="317"/>
      <c r="Q123" s="317"/>
      <c r="R123" s="317"/>
      <c r="S123" s="317"/>
      <c r="T123" s="317"/>
      <c r="U123" s="318"/>
      <c r="V123" s="319"/>
      <c r="X123" s="303"/>
      <c r="Y123" s="316"/>
      <c r="Z123" s="316"/>
      <c r="AA123" s="320" t="s">
        <v>209</v>
      </c>
      <c r="AB123" s="316"/>
      <c r="AC123" s="316"/>
      <c r="AD123" s="316"/>
      <c r="AE123" s="316"/>
      <c r="AF123" s="316"/>
      <c r="AG123" s="316"/>
      <c r="AH123" s="316"/>
      <c r="AI123" s="316"/>
      <c r="AJ123" s="481"/>
      <c r="AK123" s="316"/>
      <c r="AL123" s="314"/>
      <c r="AM123" s="316"/>
      <c r="AN123" s="314"/>
      <c r="AO123" s="321"/>
      <c r="AP123" s="307"/>
      <c r="AQ123" s="302"/>
      <c r="AR123" s="308"/>
      <c r="AS123" s="308"/>
      <c r="AT123" s="302"/>
      <c r="AU123" s="302"/>
      <c r="AV123" s="302"/>
    </row>
    <row r="124" spans="1:48" s="62" customFormat="1" ht="18.75" hidden="1">
      <c r="A124" s="11"/>
      <c r="B124" s="11"/>
      <c r="C124" s="11"/>
      <c r="D124" s="255"/>
      <c r="E124" s="11"/>
      <c r="F124" s="322"/>
      <c r="G124" s="322"/>
      <c r="H124" s="322"/>
      <c r="I124" s="322"/>
      <c r="J124" s="323"/>
      <c r="K124" s="323"/>
      <c r="L124" s="323"/>
      <c r="M124" s="323"/>
      <c r="N124" s="323"/>
      <c r="O124" s="323"/>
      <c r="P124" s="323"/>
      <c r="Q124" s="323"/>
      <c r="R124" s="323"/>
      <c r="S124" s="323"/>
      <c r="T124" s="323"/>
      <c r="U124" s="322"/>
      <c r="V124" s="322"/>
      <c r="W124" s="322"/>
      <c r="X124" s="322"/>
      <c r="Y124" s="322"/>
      <c r="Z124" s="322"/>
      <c r="AA124" s="322"/>
      <c r="AB124" s="322"/>
      <c r="AC124" s="322"/>
      <c r="AD124" s="322"/>
      <c r="AE124" s="322"/>
      <c r="AF124" s="322"/>
      <c r="AG124" s="322"/>
      <c r="AH124" s="322"/>
      <c r="AI124" s="322"/>
      <c r="AJ124" s="482"/>
      <c r="AK124" s="322"/>
      <c r="AL124" s="324"/>
      <c r="AM124" s="322"/>
      <c r="AN124" s="281"/>
      <c r="AO124" s="325"/>
      <c r="AP124" s="326"/>
      <c r="AQ124" s="674"/>
      <c r="AR124" s="255"/>
      <c r="AS124" s="255"/>
      <c r="AT124" s="674"/>
      <c r="AU124" s="674"/>
      <c r="AV124" s="674"/>
    </row>
    <row r="125" spans="1:48" s="103" customFormat="1" ht="57.75" hidden="1" customHeight="1">
      <c r="A125" s="11"/>
      <c r="B125" s="11"/>
      <c r="C125" s="11"/>
      <c r="D125" s="255"/>
      <c r="E125" s="720" t="s">
        <v>207</v>
      </c>
      <c r="F125" s="720"/>
      <c r="G125" s="327"/>
      <c r="H125" s="328"/>
      <c r="I125" s="328"/>
      <c r="J125" s="328"/>
      <c r="K125" s="328"/>
      <c r="L125" s="328"/>
      <c r="M125" s="328"/>
      <c r="N125" s="328"/>
      <c r="O125" s="328"/>
      <c r="P125" s="328"/>
      <c r="Q125" s="328"/>
      <c r="R125" s="328"/>
      <c r="S125" s="328"/>
      <c r="T125" s="328"/>
      <c r="U125" s="328"/>
      <c r="V125" s="329"/>
      <c r="W125" s="329"/>
      <c r="X125" s="11"/>
      <c r="Y125" s="11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483"/>
      <c r="AK125" s="11"/>
      <c r="AL125" s="281"/>
      <c r="AM125" s="11"/>
      <c r="AN125" s="281"/>
      <c r="AP125" s="326"/>
      <c r="AQ125" s="674"/>
      <c r="AR125" s="255"/>
      <c r="AS125" s="255"/>
      <c r="AT125" s="674"/>
      <c r="AU125" s="674"/>
      <c r="AV125" s="674"/>
    </row>
  </sheetData>
  <mergeCells count="40">
    <mergeCell ref="D116:F116"/>
    <mergeCell ref="H123:J123"/>
    <mergeCell ref="E125:F125"/>
    <mergeCell ref="AQ14:AS15"/>
    <mergeCell ref="AT14:AV14"/>
    <mergeCell ref="O15:P15"/>
    <mergeCell ref="Q15:R15"/>
    <mergeCell ref="S15:T15"/>
    <mergeCell ref="AD15:AE15"/>
    <mergeCell ref="AF15:AG15"/>
    <mergeCell ref="AH15:AI15"/>
    <mergeCell ref="AT15:AU15"/>
    <mergeCell ref="AB14:AC15"/>
    <mergeCell ref="AD14:AI14"/>
    <mergeCell ref="AJ14:AK15"/>
    <mergeCell ref="AL14:AM15"/>
    <mergeCell ref="AN14:AO15"/>
    <mergeCell ref="AP14:AP15"/>
    <mergeCell ref="M14:N15"/>
    <mergeCell ref="O14:T14"/>
    <mergeCell ref="U14:U16"/>
    <mergeCell ref="V14:W15"/>
    <mergeCell ref="X14:Y15"/>
    <mergeCell ref="Z14:AA15"/>
    <mergeCell ref="AN13:AV13"/>
    <mergeCell ref="D14:D16"/>
    <mergeCell ref="E14:E16"/>
    <mergeCell ref="F14:F16"/>
    <mergeCell ref="G14:G15"/>
    <mergeCell ref="H14:H15"/>
    <mergeCell ref="I14:I15"/>
    <mergeCell ref="J14:J15"/>
    <mergeCell ref="K14:K15"/>
    <mergeCell ref="L14:L15"/>
    <mergeCell ref="E6:AT6"/>
    <mergeCell ref="D7:AV7"/>
    <mergeCell ref="D8:AV8"/>
    <mergeCell ref="D9:AV9"/>
    <mergeCell ref="D10:AV10"/>
    <mergeCell ref="D11:AV11"/>
  </mergeCells>
  <pageMargins left="0.31496062992125984" right="0.31496062992125984" top="0.11811023622047245" bottom="0.19685039370078741" header="0.19685039370078741" footer="0.19685039370078741"/>
  <pageSetup paperSize="9" scale="59"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91"/>
  <sheetViews>
    <sheetView view="pageBreakPreview" topLeftCell="C1" zoomScale="85" zoomScaleSheetLayoutView="85" workbookViewId="0">
      <selection activeCell="F36" sqref="F36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style="94" customWidth="1"/>
    <col min="14" max="14" width="15" style="94" customWidth="1"/>
    <col min="15" max="15" width="11.7109375" style="94" customWidth="1"/>
    <col min="16" max="16" width="15.5703125" style="94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  <c r="N3" s="94"/>
      <c r="O3" s="94"/>
      <c r="P3" s="94"/>
    </row>
    <row r="4" spans="1:16" s="1" customFormat="1">
      <c r="E4" s="15"/>
      <c r="F4" s="2"/>
      <c r="G4" s="105"/>
      <c r="J4" s="30"/>
      <c r="M4" s="30" t="s">
        <v>21</v>
      </c>
      <c r="N4" s="94"/>
      <c r="O4" s="94"/>
      <c r="P4" s="94"/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  <c r="N5" s="94"/>
      <c r="O5" s="94"/>
      <c r="P5" s="94"/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  <c r="N6" s="94"/>
      <c r="O6" s="94"/>
      <c r="P6" s="94"/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  <c r="M7" s="94"/>
      <c r="N7" s="94"/>
      <c r="O7" s="94"/>
      <c r="P7" s="9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  <c r="M8" s="94"/>
      <c r="N8" s="94"/>
      <c r="O8" s="94"/>
      <c r="P8" s="9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94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  <c r="M10" s="94"/>
      <c r="N10" s="94"/>
      <c r="O10" s="94"/>
      <c r="P10" s="9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69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158"/>
      <c r="N14" s="158"/>
      <c r="O14" s="158"/>
      <c r="P14" s="94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94"/>
      <c r="P15" s="94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65">
        <v>2</v>
      </c>
      <c r="F18" s="164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167">
        <v>169.84</v>
      </c>
      <c r="K19" s="70"/>
      <c r="L19" s="167"/>
      <c r="M19" s="70"/>
      <c r="N19" s="167"/>
      <c r="O19" s="70">
        <f t="shared" ref="O19:P36" si="0">I19+K19-M19</f>
        <v>6</v>
      </c>
      <c r="P19" s="167">
        <f t="shared" si="0"/>
        <v>169.84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135" t="s">
        <v>31</v>
      </c>
      <c r="G20" s="76">
        <v>42347</v>
      </c>
      <c r="H20" s="22">
        <v>833</v>
      </c>
      <c r="I20" s="35">
        <v>1</v>
      </c>
      <c r="J20" s="170">
        <v>1026.1600000000001</v>
      </c>
      <c r="K20" s="35"/>
      <c r="L20" s="170"/>
      <c r="M20" s="35"/>
      <c r="N20" s="170"/>
      <c r="O20" s="35">
        <f t="shared" si="0"/>
        <v>1</v>
      </c>
      <c r="P20" s="170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135" t="s">
        <v>31</v>
      </c>
      <c r="G21" s="76">
        <v>42647</v>
      </c>
      <c r="H21" s="22">
        <v>1034</v>
      </c>
      <c r="I21" s="35">
        <v>1</v>
      </c>
      <c r="J21" s="170">
        <v>1026.1600000000001</v>
      </c>
      <c r="K21" s="35"/>
      <c r="L21" s="170"/>
      <c r="M21" s="35"/>
      <c r="N21" s="170"/>
      <c r="O21" s="35">
        <f t="shared" si="0"/>
        <v>1</v>
      </c>
      <c r="P21" s="170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178" t="s">
        <v>29</v>
      </c>
      <c r="G22" s="54">
        <v>42347</v>
      </c>
      <c r="H22" s="55">
        <v>833</v>
      </c>
      <c r="I22" s="35">
        <v>1</v>
      </c>
      <c r="J22" s="170">
        <v>2094.4</v>
      </c>
      <c r="K22" s="35"/>
      <c r="L22" s="170"/>
      <c r="M22" s="35"/>
      <c r="N22" s="170"/>
      <c r="O22" s="35">
        <f t="shared" si="0"/>
        <v>1</v>
      </c>
      <c r="P22" s="170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178" t="s">
        <v>29</v>
      </c>
      <c r="G23" s="83">
        <v>42647</v>
      </c>
      <c r="H23" s="84">
        <v>1034</v>
      </c>
      <c r="I23" s="35">
        <v>1</v>
      </c>
      <c r="J23" s="170">
        <v>2094.4</v>
      </c>
      <c r="K23" s="35"/>
      <c r="L23" s="170"/>
      <c r="M23" s="35"/>
      <c r="N23" s="170"/>
      <c r="O23" s="35">
        <f t="shared" si="0"/>
        <v>1</v>
      </c>
      <c r="P23" s="170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155" t="s">
        <v>32</v>
      </c>
      <c r="G24" s="54">
        <v>42347</v>
      </c>
      <c r="H24" s="55">
        <v>833</v>
      </c>
      <c r="I24" s="35">
        <v>6</v>
      </c>
      <c r="J24" s="170">
        <v>4721.3999999999996</v>
      </c>
      <c r="K24" s="35"/>
      <c r="L24" s="170"/>
      <c r="M24" s="35"/>
      <c r="N24" s="170"/>
      <c r="O24" s="35">
        <f t="shared" si="0"/>
        <v>6</v>
      </c>
      <c r="P24" s="170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13" t="s">
        <v>40</v>
      </c>
      <c r="G25" s="114">
        <v>42976</v>
      </c>
      <c r="H25" s="115">
        <v>977</v>
      </c>
      <c r="I25" s="35">
        <v>4</v>
      </c>
      <c r="J25" s="170">
        <v>8081.6</v>
      </c>
      <c r="K25" s="35"/>
      <c r="L25" s="170"/>
      <c r="M25" s="35"/>
      <c r="N25" s="170"/>
      <c r="O25" s="35">
        <f t="shared" si="0"/>
        <v>4</v>
      </c>
      <c r="P25" s="170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177" t="s">
        <v>41</v>
      </c>
      <c r="G26" s="114">
        <v>43046</v>
      </c>
      <c r="H26" s="115">
        <v>1379</v>
      </c>
      <c r="I26" s="35">
        <v>180</v>
      </c>
      <c r="J26" s="170">
        <v>25070.400000000001</v>
      </c>
      <c r="K26" s="35"/>
      <c r="L26" s="170"/>
      <c r="M26" s="156">
        <f>60</f>
        <v>60</v>
      </c>
      <c r="N26" s="172">
        <f>8356.8</f>
        <v>8356.7999999999993</v>
      </c>
      <c r="O26" s="156">
        <f t="shared" si="0"/>
        <v>120</v>
      </c>
      <c r="P26" s="172">
        <f t="shared" si="0"/>
        <v>16713.600000000002</v>
      </c>
      <c r="Q26" s="61"/>
      <c r="R26" s="61"/>
    </row>
    <row r="27" spans="1:18" s="62" customFormat="1" ht="24.75" customHeight="1">
      <c r="A27" s="59"/>
      <c r="B27" s="60"/>
      <c r="C27" s="60"/>
      <c r="D27" s="79" t="s">
        <v>24</v>
      </c>
      <c r="E27" s="75">
        <v>2301400</v>
      </c>
      <c r="F27" s="177" t="s">
        <v>41</v>
      </c>
      <c r="G27" s="114">
        <v>43222</v>
      </c>
      <c r="H27" s="115">
        <v>834</v>
      </c>
      <c r="I27" s="35">
        <v>0</v>
      </c>
      <c r="J27" s="170">
        <v>0</v>
      </c>
      <c r="K27" s="35">
        <v>40</v>
      </c>
      <c r="L27" s="170">
        <v>5571.2</v>
      </c>
      <c r="M27" s="35">
        <v>0</v>
      </c>
      <c r="N27" s="170">
        <v>0</v>
      </c>
      <c r="O27" s="35">
        <f>I27+K27-M27</f>
        <v>40</v>
      </c>
      <c r="P27" s="170">
        <f>J27+L27-N27</f>
        <v>5571.2</v>
      </c>
      <c r="Q27" s="61"/>
      <c r="R27" s="61"/>
    </row>
    <row r="28" spans="1:18" s="62" customFormat="1" ht="31.5">
      <c r="A28" s="59"/>
      <c r="B28" s="60"/>
      <c r="C28" s="60"/>
      <c r="D28" s="79" t="s">
        <v>24</v>
      </c>
      <c r="E28" s="75">
        <v>2301400</v>
      </c>
      <c r="F28" s="51" t="s">
        <v>53</v>
      </c>
      <c r="G28" s="114">
        <v>43046</v>
      </c>
      <c r="H28" s="115">
        <v>1379</v>
      </c>
      <c r="I28" s="35">
        <v>180</v>
      </c>
      <c r="J28" s="170">
        <v>94469.4</v>
      </c>
      <c r="K28" s="35"/>
      <c r="L28" s="170"/>
      <c r="M28" s="156">
        <f>60</f>
        <v>60</v>
      </c>
      <c r="N28" s="172">
        <f>31489.8</f>
        <v>31489.8</v>
      </c>
      <c r="O28" s="156">
        <f t="shared" si="0"/>
        <v>120</v>
      </c>
      <c r="P28" s="172">
        <f t="shared" si="0"/>
        <v>62979.599999999991</v>
      </c>
      <c r="Q28" s="61"/>
      <c r="R28" s="61"/>
    </row>
    <row r="29" spans="1:18" s="62" customFormat="1" ht="31.5">
      <c r="A29" s="59"/>
      <c r="B29" s="60"/>
      <c r="C29" s="60"/>
      <c r="D29" s="79" t="s">
        <v>24</v>
      </c>
      <c r="E29" s="75">
        <v>2301400</v>
      </c>
      <c r="F29" s="51" t="s">
        <v>53</v>
      </c>
      <c r="G29" s="114">
        <v>43222</v>
      </c>
      <c r="H29" s="115">
        <v>834</v>
      </c>
      <c r="I29" s="35">
        <v>0</v>
      </c>
      <c r="J29" s="170">
        <v>0</v>
      </c>
      <c r="K29" s="35">
        <v>39</v>
      </c>
      <c r="L29" s="170">
        <v>20468.37</v>
      </c>
      <c r="M29" s="35">
        <v>0</v>
      </c>
      <c r="N29" s="170">
        <v>0</v>
      </c>
      <c r="O29" s="156">
        <f>I29+K29-M29</f>
        <v>39</v>
      </c>
      <c r="P29" s="172">
        <f>J29+L29-N29</f>
        <v>20468.37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149" t="s">
        <v>44</v>
      </c>
      <c r="G30" s="114">
        <v>43066</v>
      </c>
      <c r="H30" s="115">
        <v>1476</v>
      </c>
      <c r="I30" s="35">
        <v>5</v>
      </c>
      <c r="J30" s="170">
        <v>1010.9</v>
      </c>
      <c r="K30" s="35"/>
      <c r="L30" s="170"/>
      <c r="M30" s="35"/>
      <c r="N30" s="170"/>
      <c r="O30" s="35">
        <f t="shared" si="0"/>
        <v>5</v>
      </c>
      <c r="P30" s="170">
        <f t="shared" si="0"/>
        <v>1010.9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149" t="s">
        <v>44</v>
      </c>
      <c r="G31" s="114">
        <v>43061</v>
      </c>
      <c r="H31" s="115" t="s">
        <v>59</v>
      </c>
      <c r="I31" s="35">
        <v>205</v>
      </c>
      <c r="J31" s="170">
        <v>41446.9</v>
      </c>
      <c r="K31" s="35"/>
      <c r="L31" s="170"/>
      <c r="M31" s="35"/>
      <c r="N31" s="170"/>
      <c r="O31" s="35">
        <f t="shared" si="0"/>
        <v>205</v>
      </c>
      <c r="P31" s="170">
        <f t="shared" si="0"/>
        <v>41446.9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155" t="s">
        <v>55</v>
      </c>
      <c r="G32" s="114">
        <v>43046</v>
      </c>
      <c r="H32" s="115">
        <v>1379</v>
      </c>
      <c r="I32" s="35">
        <v>44</v>
      </c>
      <c r="J32" s="170">
        <v>13134</v>
      </c>
      <c r="K32" s="35"/>
      <c r="L32" s="170"/>
      <c r="M32" s="156">
        <f>30+14</f>
        <v>44</v>
      </c>
      <c r="N32" s="172">
        <f>8955+4179</f>
        <v>13134</v>
      </c>
      <c r="O32" s="156">
        <f t="shared" si="0"/>
        <v>0</v>
      </c>
      <c r="P32" s="172">
        <f t="shared" si="0"/>
        <v>0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155" t="s">
        <v>55</v>
      </c>
      <c r="G33" s="114">
        <v>43066</v>
      </c>
      <c r="H33" s="115">
        <v>1476</v>
      </c>
      <c r="I33" s="35">
        <v>6</v>
      </c>
      <c r="J33" s="170">
        <v>1791</v>
      </c>
      <c r="K33" s="35"/>
      <c r="L33" s="170"/>
      <c r="M33" s="156">
        <f>6</f>
        <v>6</v>
      </c>
      <c r="N33" s="172">
        <v>1791</v>
      </c>
      <c r="O33" s="156">
        <f t="shared" si="0"/>
        <v>0</v>
      </c>
      <c r="P33" s="172">
        <f t="shared" si="0"/>
        <v>0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55" t="s">
        <v>55</v>
      </c>
      <c r="G34" s="114">
        <v>43061</v>
      </c>
      <c r="H34" s="115" t="s">
        <v>59</v>
      </c>
      <c r="I34" s="35">
        <v>36</v>
      </c>
      <c r="J34" s="170">
        <v>10746</v>
      </c>
      <c r="K34" s="35"/>
      <c r="L34" s="170"/>
      <c r="M34" s="156">
        <f>25</f>
        <v>25</v>
      </c>
      <c r="N34" s="172">
        <f>7462.5</f>
        <v>7462.5</v>
      </c>
      <c r="O34" s="156">
        <f t="shared" si="0"/>
        <v>11</v>
      </c>
      <c r="P34" s="172">
        <f t="shared" si="0"/>
        <v>3283.5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55" t="s">
        <v>55</v>
      </c>
      <c r="G35" s="114">
        <v>43061</v>
      </c>
      <c r="H35" s="115" t="s">
        <v>59</v>
      </c>
      <c r="I35" s="35">
        <v>86</v>
      </c>
      <c r="J35" s="170">
        <v>25671</v>
      </c>
      <c r="K35" s="35"/>
      <c r="L35" s="170"/>
      <c r="M35" s="35"/>
      <c r="N35" s="170"/>
      <c r="O35" s="156">
        <f t="shared" si="0"/>
        <v>86</v>
      </c>
      <c r="P35" s="172">
        <f t="shared" si="0"/>
        <v>25671</v>
      </c>
      <c r="Q35" s="61"/>
      <c r="R35" s="61"/>
    </row>
    <row r="36" spans="1:18" s="62" customFormat="1" ht="26.25" customHeight="1">
      <c r="A36" s="59"/>
      <c r="B36" s="60"/>
      <c r="C36" s="60"/>
      <c r="D36" s="79" t="s">
        <v>24</v>
      </c>
      <c r="E36" s="75">
        <v>2301400</v>
      </c>
      <c r="F36" s="173" t="s">
        <v>56</v>
      </c>
      <c r="G36" s="114">
        <v>43046</v>
      </c>
      <c r="H36" s="115">
        <v>1379</v>
      </c>
      <c r="I36" s="35">
        <v>18</v>
      </c>
      <c r="J36" s="170">
        <v>5398.2</v>
      </c>
      <c r="K36" s="35"/>
      <c r="L36" s="170"/>
      <c r="M36" s="35"/>
      <c r="N36" s="170"/>
      <c r="O36" s="35">
        <f t="shared" si="0"/>
        <v>18</v>
      </c>
      <c r="P36" s="170">
        <f t="shared" si="0"/>
        <v>5398.2</v>
      </c>
      <c r="Q36" s="61"/>
      <c r="R36" s="61"/>
    </row>
    <row r="37" spans="1:18" s="62" customFormat="1" ht="26.25" customHeight="1">
      <c r="A37" s="59"/>
      <c r="B37" s="60"/>
      <c r="C37" s="60"/>
      <c r="D37" s="79" t="s">
        <v>24</v>
      </c>
      <c r="E37" s="75">
        <v>2301400</v>
      </c>
      <c r="F37" s="173" t="s">
        <v>56</v>
      </c>
      <c r="G37" s="114">
        <v>43066</v>
      </c>
      <c r="H37" s="115">
        <v>1476</v>
      </c>
      <c r="I37" s="35">
        <v>162</v>
      </c>
      <c r="J37" s="170">
        <v>48583.8</v>
      </c>
      <c r="K37" s="35"/>
      <c r="L37" s="170"/>
      <c r="M37" s="35"/>
      <c r="N37" s="170"/>
      <c r="O37" s="35">
        <f t="shared" ref="O37:Q82" si="1">I37+K37-M37</f>
        <v>162</v>
      </c>
      <c r="P37" s="170">
        <f t="shared" si="1"/>
        <v>48583.8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43</v>
      </c>
      <c r="G38" s="114">
        <v>43047</v>
      </c>
      <c r="H38" s="115">
        <v>1381</v>
      </c>
      <c r="I38" s="35">
        <v>40</v>
      </c>
      <c r="J38" s="170">
        <v>21408.799999999999</v>
      </c>
      <c r="K38" s="35"/>
      <c r="L38" s="170"/>
      <c r="M38" s="35">
        <v>40</v>
      </c>
      <c r="N38" s="170">
        <v>21408.799999999999</v>
      </c>
      <c r="O38" s="35">
        <f t="shared" si="1"/>
        <v>0</v>
      </c>
      <c r="P38" s="170">
        <f t="shared" si="1"/>
        <v>0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162" t="s">
        <v>43</v>
      </c>
      <c r="G39" s="114">
        <v>43040</v>
      </c>
      <c r="H39" s="115">
        <v>1353</v>
      </c>
      <c r="I39" s="35">
        <v>210</v>
      </c>
      <c r="J39" s="170">
        <v>112396.2</v>
      </c>
      <c r="K39" s="35"/>
      <c r="L39" s="170"/>
      <c r="M39" s="156">
        <f>55+20+30</f>
        <v>105</v>
      </c>
      <c r="N39" s="172">
        <f>29437.1+10704.4+16056.6</f>
        <v>56198.1</v>
      </c>
      <c r="O39" s="156">
        <f t="shared" si="1"/>
        <v>105</v>
      </c>
      <c r="P39" s="172">
        <f t="shared" si="1"/>
        <v>56198.1</v>
      </c>
      <c r="Q39" s="61"/>
      <c r="R39" s="61"/>
    </row>
    <row r="40" spans="1:18" s="62" customFormat="1" ht="24" customHeight="1">
      <c r="A40" s="59"/>
      <c r="B40" s="60"/>
      <c r="C40" s="60"/>
      <c r="D40" s="79" t="s">
        <v>24</v>
      </c>
      <c r="E40" s="75">
        <v>2301400</v>
      </c>
      <c r="F40" s="162" t="s">
        <v>43</v>
      </c>
      <c r="G40" s="114">
        <v>43222</v>
      </c>
      <c r="H40" s="115">
        <v>834</v>
      </c>
      <c r="I40" s="35">
        <v>0</v>
      </c>
      <c r="J40" s="170">
        <v>0</v>
      </c>
      <c r="K40" s="35">
        <v>15</v>
      </c>
      <c r="L40" s="170">
        <v>8028.3</v>
      </c>
      <c r="M40" s="35">
        <v>0</v>
      </c>
      <c r="N40" s="170">
        <v>0</v>
      </c>
      <c r="O40" s="156">
        <f>I40+K40-M40</f>
        <v>15</v>
      </c>
      <c r="P40" s="172">
        <f>J40+L40-N40</f>
        <v>8028.3</v>
      </c>
      <c r="Q40" s="61"/>
      <c r="R40" s="61"/>
    </row>
    <row r="41" spans="1:18" s="62" customFormat="1" ht="24" customHeight="1">
      <c r="A41" s="59"/>
      <c r="B41" s="60"/>
      <c r="C41" s="60"/>
      <c r="D41" s="79" t="s">
        <v>24</v>
      </c>
      <c r="E41" s="75">
        <v>2301400</v>
      </c>
      <c r="F41" s="161" t="s">
        <v>48</v>
      </c>
      <c r="G41" s="114">
        <v>43052</v>
      </c>
      <c r="H41" s="115">
        <v>1405</v>
      </c>
      <c r="I41" s="35">
        <v>120</v>
      </c>
      <c r="J41" s="170">
        <v>58734</v>
      </c>
      <c r="K41" s="35"/>
      <c r="L41" s="170"/>
      <c r="M41" s="156">
        <f>15+30+10</f>
        <v>55</v>
      </c>
      <c r="N41" s="172">
        <f>7341.75+14683.5+4894.5</f>
        <v>26919.75</v>
      </c>
      <c r="O41" s="156">
        <f t="shared" si="1"/>
        <v>65</v>
      </c>
      <c r="P41" s="172">
        <f t="shared" si="1"/>
        <v>31814.25</v>
      </c>
      <c r="Q41" s="61"/>
      <c r="R41" s="61"/>
    </row>
    <row r="42" spans="1:18" s="62" customFormat="1" ht="24" customHeight="1">
      <c r="A42" s="59"/>
      <c r="B42" s="60"/>
      <c r="C42" s="60"/>
      <c r="D42" s="79" t="s">
        <v>24</v>
      </c>
      <c r="E42" s="75">
        <v>2301400</v>
      </c>
      <c r="F42" s="51" t="s">
        <v>48</v>
      </c>
      <c r="G42" s="114">
        <v>43066</v>
      </c>
      <c r="H42" s="115">
        <v>1476</v>
      </c>
      <c r="I42" s="35">
        <v>30</v>
      </c>
      <c r="J42" s="170">
        <v>14683.5</v>
      </c>
      <c r="K42" s="35"/>
      <c r="L42" s="170"/>
      <c r="M42" s="35">
        <v>30</v>
      </c>
      <c r="N42" s="170">
        <v>14683.5</v>
      </c>
      <c r="O42" s="35">
        <f t="shared" si="1"/>
        <v>0</v>
      </c>
      <c r="P42" s="170">
        <f t="shared" si="1"/>
        <v>0</v>
      </c>
      <c r="Q42" s="77">
        <f t="shared" si="1"/>
        <v>30</v>
      </c>
      <c r="R42" s="61"/>
    </row>
    <row r="43" spans="1:18" s="62" customFormat="1" ht="24" customHeight="1">
      <c r="A43" s="59"/>
      <c r="B43" s="60"/>
      <c r="C43" s="60"/>
      <c r="D43" s="79" t="s">
        <v>24</v>
      </c>
      <c r="E43" s="75">
        <v>2301400</v>
      </c>
      <c r="F43" s="161" t="s">
        <v>48</v>
      </c>
      <c r="G43" s="114">
        <v>43182</v>
      </c>
      <c r="H43" s="115">
        <v>546</v>
      </c>
      <c r="I43" s="35">
        <v>0</v>
      </c>
      <c r="J43" s="170">
        <v>0</v>
      </c>
      <c r="K43" s="35">
        <v>65</v>
      </c>
      <c r="L43" s="170">
        <v>31814.25</v>
      </c>
      <c r="M43" s="35">
        <v>0</v>
      </c>
      <c r="N43" s="170">
        <v>0</v>
      </c>
      <c r="O43" s="156">
        <f t="shared" si="1"/>
        <v>65</v>
      </c>
      <c r="P43" s="172">
        <f t="shared" si="1"/>
        <v>31814.25</v>
      </c>
      <c r="Q43" s="61"/>
      <c r="R43" s="61"/>
    </row>
    <row r="44" spans="1:18" s="134" customFormat="1" ht="27" customHeight="1">
      <c r="A44" s="131"/>
      <c r="B44" s="132"/>
      <c r="C44" s="60"/>
      <c r="D44" s="79" t="s">
        <v>24</v>
      </c>
      <c r="E44" s="75">
        <v>2301400</v>
      </c>
      <c r="F44" s="149" t="s">
        <v>44</v>
      </c>
      <c r="G44" s="114">
        <v>43082</v>
      </c>
      <c r="H44" s="115">
        <v>1583</v>
      </c>
      <c r="I44" s="22">
        <v>0</v>
      </c>
      <c r="J44" s="170">
        <v>0</v>
      </c>
      <c r="K44" s="35">
        <v>50</v>
      </c>
      <c r="L44" s="170">
        <v>10109</v>
      </c>
      <c r="M44" s="35">
        <v>0</v>
      </c>
      <c r="N44" s="170">
        <v>0</v>
      </c>
      <c r="O44" s="35">
        <f>I44+K44-M44</f>
        <v>50</v>
      </c>
      <c r="P44" s="170">
        <f>J44+L44-N44</f>
        <v>10109</v>
      </c>
      <c r="Q44" s="133"/>
      <c r="R44" s="133"/>
    </row>
    <row r="45" spans="1:18" s="139" customFormat="1" ht="27" customHeight="1">
      <c r="A45" s="136"/>
      <c r="B45" s="137"/>
      <c r="C45" s="60"/>
      <c r="D45" s="79" t="s">
        <v>24</v>
      </c>
      <c r="E45" s="75">
        <v>2301400</v>
      </c>
      <c r="F45" s="149" t="s">
        <v>54</v>
      </c>
      <c r="G45" s="114">
        <v>43096</v>
      </c>
      <c r="H45" s="115">
        <v>1745</v>
      </c>
      <c r="I45" s="22">
        <v>0</v>
      </c>
      <c r="J45" s="170">
        <v>0</v>
      </c>
      <c r="K45" s="35">
        <v>45</v>
      </c>
      <c r="L45" s="170">
        <v>9098.1</v>
      </c>
      <c r="M45" s="35">
        <v>0</v>
      </c>
      <c r="N45" s="170">
        <v>0</v>
      </c>
      <c r="O45" s="35">
        <f t="shared" ref="O45:P50" si="2">I45+K45-M45</f>
        <v>45</v>
      </c>
      <c r="P45" s="170">
        <f t="shared" si="2"/>
        <v>9098.1</v>
      </c>
      <c r="Q45" s="138"/>
      <c r="R45" s="138"/>
    </row>
    <row r="46" spans="1:18" s="62" customFormat="1" ht="26.25" customHeight="1">
      <c r="A46" s="59"/>
      <c r="B46" s="60"/>
      <c r="C46" s="60"/>
      <c r="D46" s="79" t="s">
        <v>24</v>
      </c>
      <c r="E46" s="75">
        <v>2301400</v>
      </c>
      <c r="F46" s="149" t="s">
        <v>44</v>
      </c>
      <c r="G46" s="114">
        <v>43164</v>
      </c>
      <c r="H46" s="115">
        <v>426</v>
      </c>
      <c r="I46" s="22">
        <v>0</v>
      </c>
      <c r="J46" s="170">
        <v>0</v>
      </c>
      <c r="K46" s="35">
        <v>50</v>
      </c>
      <c r="L46" s="170">
        <v>10109</v>
      </c>
      <c r="M46" s="35">
        <v>0</v>
      </c>
      <c r="N46" s="170">
        <v>0</v>
      </c>
      <c r="O46" s="35">
        <f t="shared" si="2"/>
        <v>50</v>
      </c>
      <c r="P46" s="170">
        <f t="shared" si="2"/>
        <v>10109</v>
      </c>
      <c r="Q46" s="61"/>
      <c r="R46" s="61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149" t="s">
        <v>44</v>
      </c>
      <c r="G47" s="114">
        <v>43145</v>
      </c>
      <c r="H47" s="115">
        <v>260</v>
      </c>
      <c r="I47" s="22">
        <v>0</v>
      </c>
      <c r="J47" s="170">
        <v>0</v>
      </c>
      <c r="K47" s="35">
        <v>110</v>
      </c>
      <c r="L47" s="170">
        <v>22239.8</v>
      </c>
      <c r="M47" s="35">
        <v>0</v>
      </c>
      <c r="N47" s="170">
        <v>0</v>
      </c>
      <c r="O47" s="35">
        <f t="shared" si="2"/>
        <v>110</v>
      </c>
      <c r="P47" s="170">
        <f t="shared" si="2"/>
        <v>22239.8</v>
      </c>
      <c r="Q47" s="61"/>
      <c r="R47" s="61"/>
    </row>
    <row r="48" spans="1:18" s="62" customFormat="1" ht="26.25" customHeight="1">
      <c r="A48" s="59"/>
      <c r="B48" s="60"/>
      <c r="C48" s="60"/>
      <c r="D48" s="79" t="s">
        <v>24</v>
      </c>
      <c r="E48" s="75">
        <v>2301400</v>
      </c>
      <c r="F48" s="149" t="s">
        <v>44</v>
      </c>
      <c r="G48" s="114">
        <v>43182</v>
      </c>
      <c r="H48" s="115">
        <v>546</v>
      </c>
      <c r="I48" s="22">
        <v>0</v>
      </c>
      <c r="J48" s="170">
        <v>0</v>
      </c>
      <c r="K48" s="35">
        <v>105</v>
      </c>
      <c r="L48" s="170">
        <v>21228.9</v>
      </c>
      <c r="M48" s="35">
        <v>0</v>
      </c>
      <c r="N48" s="170">
        <v>0</v>
      </c>
      <c r="O48" s="35">
        <f t="shared" si="2"/>
        <v>105</v>
      </c>
      <c r="P48" s="170">
        <f t="shared" si="2"/>
        <v>21228.9</v>
      </c>
      <c r="Q48" s="61"/>
      <c r="R48" s="61"/>
    </row>
    <row r="49" spans="1:18" s="62" customFormat="1" ht="26.25" customHeight="1">
      <c r="A49" s="59"/>
      <c r="B49" s="60"/>
      <c r="C49" s="60"/>
      <c r="D49" s="79" t="s">
        <v>24</v>
      </c>
      <c r="E49" s="75">
        <v>2301400</v>
      </c>
      <c r="F49" s="149" t="s">
        <v>44</v>
      </c>
      <c r="G49" s="114">
        <v>43201</v>
      </c>
      <c r="H49" s="115">
        <v>659</v>
      </c>
      <c r="I49" s="22">
        <v>0</v>
      </c>
      <c r="J49" s="170">
        <v>0</v>
      </c>
      <c r="K49" s="35">
        <v>80</v>
      </c>
      <c r="L49" s="170">
        <v>16174.4</v>
      </c>
      <c r="M49" s="35">
        <v>0</v>
      </c>
      <c r="N49" s="170">
        <v>0</v>
      </c>
      <c r="O49" s="35">
        <f t="shared" si="2"/>
        <v>80</v>
      </c>
      <c r="P49" s="170">
        <f t="shared" si="2"/>
        <v>16174.4</v>
      </c>
      <c r="Q49" s="61"/>
      <c r="R49" s="61"/>
    </row>
    <row r="50" spans="1:18" s="62" customFormat="1" ht="26.25" customHeight="1">
      <c r="A50" s="59"/>
      <c r="B50" s="60"/>
      <c r="C50" s="60"/>
      <c r="D50" s="79" t="s">
        <v>24</v>
      </c>
      <c r="E50" s="75">
        <v>2301400</v>
      </c>
      <c r="F50" s="149" t="s">
        <v>44</v>
      </c>
      <c r="G50" s="114">
        <v>43222</v>
      </c>
      <c r="H50" s="115">
        <v>834</v>
      </c>
      <c r="I50" s="35">
        <v>0</v>
      </c>
      <c r="J50" s="170">
        <v>0</v>
      </c>
      <c r="K50" s="35">
        <v>95</v>
      </c>
      <c r="L50" s="170">
        <v>19207.099999999999</v>
      </c>
      <c r="M50" s="35">
        <v>0</v>
      </c>
      <c r="N50" s="170">
        <v>0</v>
      </c>
      <c r="O50" s="35">
        <f t="shared" si="2"/>
        <v>95</v>
      </c>
      <c r="P50" s="170">
        <f t="shared" si="2"/>
        <v>19207.099999999999</v>
      </c>
      <c r="Q50" s="61"/>
      <c r="R50" s="61"/>
    </row>
    <row r="51" spans="1:18" s="134" customFormat="1" ht="27" customHeight="1">
      <c r="A51" s="131"/>
      <c r="B51" s="132"/>
      <c r="C51" s="60"/>
      <c r="D51" s="79" t="s">
        <v>24</v>
      </c>
      <c r="E51" s="75">
        <v>2301400</v>
      </c>
      <c r="F51" s="53" t="s">
        <v>52</v>
      </c>
      <c r="G51" s="114">
        <v>43087</v>
      </c>
      <c r="H51" s="115">
        <v>1625</v>
      </c>
      <c r="I51" s="22">
        <v>0</v>
      </c>
      <c r="J51" s="170">
        <v>0</v>
      </c>
      <c r="K51" s="35">
        <v>5</v>
      </c>
      <c r="L51" s="170">
        <v>1010.9</v>
      </c>
      <c r="M51" s="35">
        <v>0</v>
      </c>
      <c r="N51" s="170">
        <v>0</v>
      </c>
      <c r="O51" s="35">
        <f t="shared" si="1"/>
        <v>5</v>
      </c>
      <c r="P51" s="170">
        <f t="shared" si="1"/>
        <v>1010.9</v>
      </c>
      <c r="Q51" s="133"/>
      <c r="R51" s="133"/>
    </row>
    <row r="52" spans="1:18" s="134" customFormat="1" ht="27" customHeight="1">
      <c r="A52" s="131"/>
      <c r="B52" s="132"/>
      <c r="C52" s="60"/>
      <c r="D52" s="79" t="s">
        <v>24</v>
      </c>
      <c r="E52" s="75">
        <v>2301400</v>
      </c>
      <c r="F52" s="53" t="s">
        <v>52</v>
      </c>
      <c r="G52" s="114">
        <v>43082</v>
      </c>
      <c r="H52" s="115">
        <v>1583</v>
      </c>
      <c r="I52" s="22">
        <v>0</v>
      </c>
      <c r="J52" s="170">
        <v>0</v>
      </c>
      <c r="K52" s="35">
        <v>490</v>
      </c>
      <c r="L52" s="170">
        <v>99068.2</v>
      </c>
      <c r="M52" s="35">
        <v>0</v>
      </c>
      <c r="N52" s="170">
        <v>0</v>
      </c>
      <c r="O52" s="35">
        <f t="shared" si="1"/>
        <v>490</v>
      </c>
      <c r="P52" s="170">
        <f t="shared" si="1"/>
        <v>99068.2</v>
      </c>
      <c r="Q52" s="133"/>
      <c r="R52" s="133"/>
    </row>
    <row r="53" spans="1:18" s="139" customFormat="1" ht="27" customHeight="1">
      <c r="A53" s="136"/>
      <c r="B53" s="137"/>
      <c r="C53" s="60"/>
      <c r="D53" s="79" t="s">
        <v>24</v>
      </c>
      <c r="E53" s="75">
        <v>2301400</v>
      </c>
      <c r="F53" s="53" t="s">
        <v>52</v>
      </c>
      <c r="G53" s="114">
        <v>43096</v>
      </c>
      <c r="H53" s="115">
        <v>1745</v>
      </c>
      <c r="I53" s="22">
        <v>0</v>
      </c>
      <c r="J53" s="170">
        <v>0</v>
      </c>
      <c r="K53" s="35">
        <v>195</v>
      </c>
      <c r="L53" s="170">
        <v>39425.1</v>
      </c>
      <c r="M53" s="35">
        <v>0</v>
      </c>
      <c r="N53" s="170">
        <v>0</v>
      </c>
      <c r="O53" s="35">
        <f t="shared" si="1"/>
        <v>195</v>
      </c>
      <c r="P53" s="170">
        <f t="shared" si="1"/>
        <v>39425.1</v>
      </c>
      <c r="Q53" s="138"/>
      <c r="R53" s="138"/>
    </row>
    <row r="54" spans="1:18" s="62" customFormat="1" ht="26.25" customHeight="1">
      <c r="A54" s="59"/>
      <c r="B54" s="60"/>
      <c r="C54" s="60"/>
      <c r="D54" s="79" t="s">
        <v>24</v>
      </c>
      <c r="E54" s="75">
        <v>2301400</v>
      </c>
      <c r="F54" s="53" t="s">
        <v>65</v>
      </c>
      <c r="G54" s="114">
        <v>43164</v>
      </c>
      <c r="H54" s="115">
        <v>426</v>
      </c>
      <c r="I54" s="22">
        <v>0</v>
      </c>
      <c r="J54" s="170">
        <v>0</v>
      </c>
      <c r="K54" s="35">
        <v>170</v>
      </c>
      <c r="L54" s="170">
        <v>34370.6</v>
      </c>
      <c r="M54" s="35">
        <v>0</v>
      </c>
      <c r="N54" s="170">
        <v>0</v>
      </c>
      <c r="O54" s="35">
        <f t="shared" si="1"/>
        <v>170</v>
      </c>
      <c r="P54" s="170">
        <f t="shared" si="1"/>
        <v>34370.6</v>
      </c>
      <c r="Q54" s="61"/>
      <c r="R54" s="61"/>
    </row>
    <row r="55" spans="1:18" s="62" customFormat="1" ht="26.25" customHeight="1">
      <c r="A55" s="59"/>
      <c r="B55" s="60"/>
      <c r="C55" s="60"/>
      <c r="D55" s="79" t="s">
        <v>24</v>
      </c>
      <c r="E55" s="75">
        <v>2301400</v>
      </c>
      <c r="F55" s="53" t="s">
        <v>65</v>
      </c>
      <c r="G55" s="114">
        <v>43143</v>
      </c>
      <c r="H55" s="115">
        <v>234</v>
      </c>
      <c r="I55" s="22">
        <v>0</v>
      </c>
      <c r="J55" s="170">
        <v>0</v>
      </c>
      <c r="K55" s="35">
        <v>320</v>
      </c>
      <c r="L55" s="170">
        <v>64697.599999999999</v>
      </c>
      <c r="M55" s="35">
        <v>0</v>
      </c>
      <c r="N55" s="170">
        <v>0</v>
      </c>
      <c r="O55" s="35">
        <f t="shared" si="1"/>
        <v>320</v>
      </c>
      <c r="P55" s="170">
        <f t="shared" si="1"/>
        <v>64697.599999999999</v>
      </c>
      <c r="Q55" s="61"/>
      <c r="R55" s="61"/>
    </row>
    <row r="56" spans="1:18" s="62" customFormat="1" ht="26.25" customHeight="1">
      <c r="A56" s="59"/>
      <c r="B56" s="60"/>
      <c r="C56" s="60"/>
      <c r="D56" s="79" t="s">
        <v>24</v>
      </c>
      <c r="E56" s="75">
        <v>2301400</v>
      </c>
      <c r="F56" s="53" t="s">
        <v>65</v>
      </c>
      <c r="G56" s="114">
        <v>43143</v>
      </c>
      <c r="H56" s="115">
        <v>234</v>
      </c>
      <c r="I56" s="22">
        <v>0</v>
      </c>
      <c r="J56" s="170">
        <v>0</v>
      </c>
      <c r="K56" s="35">
        <v>15</v>
      </c>
      <c r="L56" s="170">
        <v>3032.7</v>
      </c>
      <c r="M56" s="35">
        <v>0</v>
      </c>
      <c r="N56" s="170">
        <v>0</v>
      </c>
      <c r="O56" s="35">
        <f t="shared" si="1"/>
        <v>15</v>
      </c>
      <c r="P56" s="170">
        <f t="shared" si="1"/>
        <v>3032.7</v>
      </c>
      <c r="Q56" s="61"/>
      <c r="R56" s="61"/>
    </row>
    <row r="57" spans="1:18" s="62" customFormat="1" ht="27" customHeight="1">
      <c r="A57" s="59"/>
      <c r="B57" s="60"/>
      <c r="C57" s="60"/>
      <c r="D57" s="79" t="s">
        <v>24</v>
      </c>
      <c r="E57" s="75">
        <v>2301400</v>
      </c>
      <c r="F57" s="53" t="s">
        <v>65</v>
      </c>
      <c r="G57" s="114">
        <v>43159</v>
      </c>
      <c r="H57" s="115">
        <v>356</v>
      </c>
      <c r="I57" s="22">
        <v>0</v>
      </c>
      <c r="J57" s="170">
        <v>0</v>
      </c>
      <c r="K57" s="35">
        <v>170</v>
      </c>
      <c r="L57" s="170">
        <v>34370.6</v>
      </c>
      <c r="M57" s="35">
        <v>0</v>
      </c>
      <c r="N57" s="170">
        <v>0</v>
      </c>
      <c r="O57" s="35">
        <f t="shared" si="1"/>
        <v>170</v>
      </c>
      <c r="P57" s="170">
        <f t="shared" si="1"/>
        <v>34370.6</v>
      </c>
      <c r="Q57" s="61"/>
      <c r="R57" s="61"/>
    </row>
    <row r="58" spans="1:18" s="62" customFormat="1" ht="27" customHeight="1">
      <c r="A58" s="59"/>
      <c r="B58" s="60"/>
      <c r="C58" s="60"/>
      <c r="D58" s="79" t="s">
        <v>24</v>
      </c>
      <c r="E58" s="75">
        <v>2301400</v>
      </c>
      <c r="F58" s="53" t="s">
        <v>65</v>
      </c>
      <c r="G58" s="114">
        <v>43145</v>
      </c>
      <c r="H58" s="115">
        <v>260</v>
      </c>
      <c r="I58" s="22">
        <v>0</v>
      </c>
      <c r="J58" s="170">
        <v>0</v>
      </c>
      <c r="K58" s="35">
        <v>665</v>
      </c>
      <c r="L58" s="170">
        <v>134449.70000000001</v>
      </c>
      <c r="M58" s="35">
        <v>0</v>
      </c>
      <c r="N58" s="170">
        <v>0</v>
      </c>
      <c r="O58" s="35">
        <f t="shared" si="1"/>
        <v>665</v>
      </c>
      <c r="P58" s="170">
        <f t="shared" si="1"/>
        <v>134449.70000000001</v>
      </c>
      <c r="Q58" s="61"/>
      <c r="R58" s="61"/>
    </row>
    <row r="59" spans="1:18" s="62" customFormat="1" ht="26.25" customHeight="1">
      <c r="A59" s="59"/>
      <c r="B59" s="60"/>
      <c r="C59" s="60"/>
      <c r="D59" s="79" t="s">
        <v>24</v>
      </c>
      <c r="E59" s="75">
        <v>2301400</v>
      </c>
      <c r="F59" s="53" t="s">
        <v>65</v>
      </c>
      <c r="G59" s="114">
        <v>43116</v>
      </c>
      <c r="H59" s="115">
        <v>68</v>
      </c>
      <c r="I59" s="22">
        <v>0</v>
      </c>
      <c r="J59" s="170">
        <v>0</v>
      </c>
      <c r="K59" s="35">
        <v>335</v>
      </c>
      <c r="L59" s="170">
        <v>67730.3</v>
      </c>
      <c r="M59" s="35">
        <v>0</v>
      </c>
      <c r="N59" s="170">
        <v>0</v>
      </c>
      <c r="O59" s="35">
        <f t="shared" si="1"/>
        <v>335</v>
      </c>
      <c r="P59" s="170">
        <f t="shared" si="1"/>
        <v>67730.3</v>
      </c>
      <c r="Q59" s="61"/>
      <c r="R59" s="61"/>
    </row>
    <row r="60" spans="1:18" s="62" customFormat="1" ht="26.25" customHeight="1">
      <c r="A60" s="59"/>
      <c r="B60" s="60"/>
      <c r="C60" s="60"/>
      <c r="D60" s="79" t="s">
        <v>24</v>
      </c>
      <c r="E60" s="75">
        <v>2301400</v>
      </c>
      <c r="F60" s="53" t="s">
        <v>65</v>
      </c>
      <c r="G60" s="114">
        <v>42761</v>
      </c>
      <c r="H60" s="115">
        <v>135</v>
      </c>
      <c r="I60" s="22">
        <v>0</v>
      </c>
      <c r="J60" s="170">
        <v>0</v>
      </c>
      <c r="K60" s="35">
        <v>155</v>
      </c>
      <c r="L60" s="170">
        <v>31337.9</v>
      </c>
      <c r="M60" s="35">
        <v>0</v>
      </c>
      <c r="N60" s="170">
        <v>0</v>
      </c>
      <c r="O60" s="35">
        <f t="shared" si="1"/>
        <v>155</v>
      </c>
      <c r="P60" s="170">
        <f t="shared" si="1"/>
        <v>31337.9</v>
      </c>
      <c r="Q60" s="61"/>
      <c r="R60" s="61"/>
    </row>
    <row r="61" spans="1:18" s="62" customFormat="1" ht="26.25" customHeight="1">
      <c r="A61" s="59"/>
      <c r="B61" s="60"/>
      <c r="C61" s="60"/>
      <c r="D61" s="79" t="s">
        <v>24</v>
      </c>
      <c r="E61" s="75">
        <v>2301400</v>
      </c>
      <c r="F61" s="53" t="s">
        <v>65</v>
      </c>
      <c r="G61" s="114">
        <v>43119</v>
      </c>
      <c r="H61" s="115">
        <v>108</v>
      </c>
      <c r="I61" s="22">
        <v>0</v>
      </c>
      <c r="J61" s="170">
        <v>0</v>
      </c>
      <c r="K61" s="35">
        <v>340</v>
      </c>
      <c r="L61" s="170">
        <v>68741.2</v>
      </c>
      <c r="M61" s="35">
        <v>0</v>
      </c>
      <c r="N61" s="170">
        <v>0</v>
      </c>
      <c r="O61" s="35">
        <f t="shared" si="1"/>
        <v>340</v>
      </c>
      <c r="P61" s="170">
        <f t="shared" si="1"/>
        <v>68741.2</v>
      </c>
      <c r="Q61" s="61"/>
      <c r="R61" s="61"/>
    </row>
    <row r="62" spans="1:18" s="62" customFormat="1" ht="26.25" customHeight="1">
      <c r="A62" s="59"/>
      <c r="B62" s="60"/>
      <c r="C62" s="60"/>
      <c r="D62" s="79" t="s">
        <v>24</v>
      </c>
      <c r="E62" s="75">
        <v>2301400</v>
      </c>
      <c r="F62" s="53" t="s">
        <v>65</v>
      </c>
      <c r="G62" s="114">
        <v>43201</v>
      </c>
      <c r="H62" s="115">
        <v>659</v>
      </c>
      <c r="I62" s="22">
        <v>0</v>
      </c>
      <c r="J62" s="170">
        <v>0</v>
      </c>
      <c r="K62" s="35">
        <v>245</v>
      </c>
      <c r="L62" s="170">
        <v>49534.1</v>
      </c>
      <c r="M62" s="35">
        <v>0</v>
      </c>
      <c r="N62" s="170">
        <v>0</v>
      </c>
      <c r="O62" s="35">
        <f t="shared" si="1"/>
        <v>245</v>
      </c>
      <c r="P62" s="170">
        <f t="shared" si="1"/>
        <v>49534.1</v>
      </c>
      <c r="Q62" s="61"/>
      <c r="R62" s="61"/>
    </row>
    <row r="63" spans="1:18" s="62" customFormat="1" ht="26.25" customHeight="1">
      <c r="A63" s="59"/>
      <c r="B63" s="60"/>
      <c r="C63" s="60"/>
      <c r="D63" s="79" t="s">
        <v>24</v>
      </c>
      <c r="E63" s="75">
        <v>2301400</v>
      </c>
      <c r="F63" s="53" t="s">
        <v>65</v>
      </c>
      <c r="G63" s="114">
        <v>43222</v>
      </c>
      <c r="H63" s="115">
        <v>834</v>
      </c>
      <c r="I63" s="22">
        <v>0</v>
      </c>
      <c r="J63" s="170">
        <v>0</v>
      </c>
      <c r="K63" s="35">
        <v>555</v>
      </c>
      <c r="L63" s="170">
        <v>112209.9</v>
      </c>
      <c r="M63" s="35">
        <v>0</v>
      </c>
      <c r="N63" s="170">
        <v>0</v>
      </c>
      <c r="O63" s="35">
        <f t="shared" si="1"/>
        <v>555</v>
      </c>
      <c r="P63" s="170">
        <f t="shared" si="1"/>
        <v>112209.9</v>
      </c>
      <c r="Q63" s="61"/>
      <c r="R63" s="61"/>
    </row>
    <row r="64" spans="1:18" s="62" customFormat="1" ht="26.25" customHeight="1">
      <c r="A64" s="59"/>
      <c r="B64" s="60"/>
      <c r="C64" s="60"/>
      <c r="D64" s="79" t="s">
        <v>24</v>
      </c>
      <c r="E64" s="75">
        <v>2301400</v>
      </c>
      <c r="F64" s="162" t="s">
        <v>68</v>
      </c>
      <c r="G64" s="114">
        <v>43052</v>
      </c>
      <c r="H64" s="115">
        <v>1405</v>
      </c>
      <c r="I64" s="22">
        <v>0</v>
      </c>
      <c r="J64" s="170">
        <v>0</v>
      </c>
      <c r="K64" s="35">
        <v>125</v>
      </c>
      <c r="L64" s="170">
        <v>26255</v>
      </c>
      <c r="M64" s="35">
        <f>63+62</f>
        <v>125</v>
      </c>
      <c r="N64" s="170">
        <v>26255</v>
      </c>
      <c r="O64" s="35">
        <f t="shared" si="1"/>
        <v>0</v>
      </c>
      <c r="P64" s="170">
        <f t="shared" si="1"/>
        <v>0</v>
      </c>
      <c r="Q64" s="61"/>
      <c r="R64" s="61"/>
    </row>
    <row r="65" spans="1:18" s="62" customFormat="1" ht="26.25" customHeight="1">
      <c r="A65" s="59"/>
      <c r="B65" s="60"/>
      <c r="C65" s="60"/>
      <c r="D65" s="79" t="s">
        <v>24</v>
      </c>
      <c r="E65" s="75">
        <v>2301400</v>
      </c>
      <c r="F65" s="162" t="s">
        <v>68</v>
      </c>
      <c r="G65" s="114">
        <v>43047</v>
      </c>
      <c r="H65" s="115">
        <v>1381</v>
      </c>
      <c r="I65" s="22">
        <v>0</v>
      </c>
      <c r="J65" s="170">
        <v>0</v>
      </c>
      <c r="K65" s="35">
        <v>80</v>
      </c>
      <c r="L65" s="170">
        <v>16803.2</v>
      </c>
      <c r="M65" s="35">
        <v>0</v>
      </c>
      <c r="N65" s="170">
        <v>0</v>
      </c>
      <c r="O65" s="35">
        <f t="shared" si="1"/>
        <v>80</v>
      </c>
      <c r="P65" s="170">
        <f t="shared" si="1"/>
        <v>16803.2</v>
      </c>
      <c r="Q65" s="61"/>
      <c r="R65" s="61"/>
    </row>
    <row r="66" spans="1:18" s="62" customFormat="1" ht="26.25" customHeight="1">
      <c r="A66" s="59"/>
      <c r="B66" s="60"/>
      <c r="C66" s="60"/>
      <c r="D66" s="79" t="s">
        <v>24</v>
      </c>
      <c r="E66" s="75">
        <v>2301400</v>
      </c>
      <c r="F66" s="162" t="s">
        <v>68</v>
      </c>
      <c r="G66" s="114">
        <v>43182</v>
      </c>
      <c r="H66" s="115">
        <v>546</v>
      </c>
      <c r="I66" s="22">
        <v>0</v>
      </c>
      <c r="J66" s="170">
        <v>0</v>
      </c>
      <c r="K66" s="35">
        <v>10</v>
      </c>
      <c r="L66" s="170">
        <v>2038.7</v>
      </c>
      <c r="M66" s="35">
        <v>0</v>
      </c>
      <c r="N66" s="170">
        <v>0</v>
      </c>
      <c r="O66" s="35">
        <f t="shared" si="1"/>
        <v>10</v>
      </c>
      <c r="P66" s="170">
        <f t="shared" si="1"/>
        <v>2038.7</v>
      </c>
      <c r="Q66" s="61"/>
      <c r="R66" s="61"/>
    </row>
    <row r="67" spans="1:18" s="62" customFormat="1" ht="26.25" customHeight="1">
      <c r="A67" s="59"/>
      <c r="B67" s="60"/>
      <c r="C67" s="60"/>
      <c r="D67" s="79" t="s">
        <v>24</v>
      </c>
      <c r="E67" s="75">
        <v>2301400</v>
      </c>
      <c r="F67" s="162" t="s">
        <v>68</v>
      </c>
      <c r="G67" s="114">
        <v>43222</v>
      </c>
      <c r="H67" s="115">
        <v>834</v>
      </c>
      <c r="I67" s="22">
        <v>0</v>
      </c>
      <c r="J67" s="170">
        <v>0</v>
      </c>
      <c r="K67" s="35">
        <v>10</v>
      </c>
      <c r="L67" s="170">
        <v>2100.4</v>
      </c>
      <c r="M67" s="35">
        <v>0</v>
      </c>
      <c r="N67" s="170">
        <v>0</v>
      </c>
      <c r="O67" s="35">
        <f t="shared" si="1"/>
        <v>10</v>
      </c>
      <c r="P67" s="170">
        <f t="shared" si="1"/>
        <v>2100.4</v>
      </c>
      <c r="Q67" s="61"/>
      <c r="R67" s="61"/>
    </row>
    <row r="68" spans="1:18" s="134" customFormat="1" ht="25.5" customHeight="1">
      <c r="A68" s="131"/>
      <c r="B68" s="132"/>
      <c r="C68" s="60"/>
      <c r="D68" s="79" t="s">
        <v>24</v>
      </c>
      <c r="E68" s="75">
        <v>2301400</v>
      </c>
      <c r="F68" s="140" t="s">
        <v>55</v>
      </c>
      <c r="G68" s="114">
        <v>43082</v>
      </c>
      <c r="H68" s="115">
        <v>1583</v>
      </c>
      <c r="I68" s="22">
        <v>0</v>
      </c>
      <c r="J68" s="170">
        <v>0</v>
      </c>
      <c r="K68" s="35">
        <v>8</v>
      </c>
      <c r="L68" s="170">
        <v>2388</v>
      </c>
      <c r="M68" s="35">
        <v>0</v>
      </c>
      <c r="N68" s="170">
        <v>0</v>
      </c>
      <c r="O68" s="156">
        <f t="shared" si="1"/>
        <v>8</v>
      </c>
      <c r="P68" s="172">
        <f t="shared" si="1"/>
        <v>2388</v>
      </c>
      <c r="Q68" s="133"/>
      <c r="R68" s="133"/>
    </row>
    <row r="69" spans="1:18" s="62" customFormat="1" ht="25.5" customHeight="1">
      <c r="A69" s="59"/>
      <c r="B69" s="60"/>
      <c r="C69" s="60"/>
      <c r="D69" s="79" t="s">
        <v>24</v>
      </c>
      <c r="E69" s="75">
        <v>2301400</v>
      </c>
      <c r="F69" s="140" t="s">
        <v>55</v>
      </c>
      <c r="G69" s="114">
        <v>43164</v>
      </c>
      <c r="H69" s="115">
        <v>427</v>
      </c>
      <c r="I69" s="22">
        <v>0</v>
      </c>
      <c r="J69" s="170">
        <v>0</v>
      </c>
      <c r="K69" s="35">
        <v>34</v>
      </c>
      <c r="L69" s="170">
        <v>10149</v>
      </c>
      <c r="M69" s="35">
        <v>0</v>
      </c>
      <c r="N69" s="170">
        <v>0</v>
      </c>
      <c r="O69" s="156">
        <f t="shared" si="1"/>
        <v>34</v>
      </c>
      <c r="P69" s="172">
        <f t="shared" si="1"/>
        <v>10149</v>
      </c>
      <c r="Q69" s="61"/>
      <c r="R69" s="61"/>
    </row>
    <row r="70" spans="1:18" s="62" customFormat="1" ht="25.5" customHeight="1">
      <c r="A70" s="59"/>
      <c r="B70" s="60"/>
      <c r="C70" s="60"/>
      <c r="D70" s="79" t="s">
        <v>24</v>
      </c>
      <c r="E70" s="75">
        <v>2301400</v>
      </c>
      <c r="F70" s="140" t="s">
        <v>55</v>
      </c>
      <c r="G70" s="114">
        <v>43193</v>
      </c>
      <c r="H70" s="115">
        <v>613</v>
      </c>
      <c r="I70" s="22">
        <v>0</v>
      </c>
      <c r="J70" s="170">
        <v>0</v>
      </c>
      <c r="K70" s="35">
        <v>270</v>
      </c>
      <c r="L70" s="170">
        <v>80595</v>
      </c>
      <c r="M70" s="35">
        <v>0</v>
      </c>
      <c r="N70" s="170">
        <v>0</v>
      </c>
      <c r="O70" s="156">
        <f t="shared" si="1"/>
        <v>270</v>
      </c>
      <c r="P70" s="172">
        <f t="shared" si="1"/>
        <v>80595</v>
      </c>
      <c r="Q70" s="61"/>
      <c r="R70" s="61"/>
    </row>
    <row r="71" spans="1:18" s="62" customFormat="1" ht="25.5" customHeight="1">
      <c r="A71" s="59"/>
      <c r="B71" s="60"/>
      <c r="C71" s="60"/>
      <c r="D71" s="79" t="s">
        <v>24</v>
      </c>
      <c r="E71" s="75">
        <v>2301400</v>
      </c>
      <c r="F71" s="140" t="s">
        <v>55</v>
      </c>
      <c r="G71" s="114">
        <v>43193</v>
      </c>
      <c r="H71" s="115">
        <v>612</v>
      </c>
      <c r="I71" s="22">
        <v>0</v>
      </c>
      <c r="J71" s="170">
        <v>0</v>
      </c>
      <c r="K71" s="35">
        <v>40</v>
      </c>
      <c r="L71" s="170">
        <v>11940</v>
      </c>
      <c r="M71" s="35">
        <v>0</v>
      </c>
      <c r="N71" s="170">
        <v>0</v>
      </c>
      <c r="O71" s="156">
        <f t="shared" si="1"/>
        <v>40</v>
      </c>
      <c r="P71" s="172">
        <f t="shared" si="1"/>
        <v>11940</v>
      </c>
      <c r="Q71" s="61"/>
      <c r="R71" s="61"/>
    </row>
    <row r="72" spans="1:18" s="62" customFormat="1" ht="25.5" customHeight="1">
      <c r="A72" s="59"/>
      <c r="B72" s="60"/>
      <c r="C72" s="60"/>
      <c r="D72" s="79" t="s">
        <v>24</v>
      </c>
      <c r="E72" s="75">
        <v>2301400</v>
      </c>
      <c r="F72" s="173" t="s">
        <v>64</v>
      </c>
      <c r="G72" s="114">
        <v>43164</v>
      </c>
      <c r="H72" s="115">
        <v>427</v>
      </c>
      <c r="I72" s="22">
        <v>0</v>
      </c>
      <c r="J72" s="170">
        <v>0</v>
      </c>
      <c r="K72" s="35">
        <v>56</v>
      </c>
      <c r="L72" s="170">
        <v>16794.400000000001</v>
      </c>
      <c r="M72" s="35">
        <v>0</v>
      </c>
      <c r="N72" s="170">
        <v>0</v>
      </c>
      <c r="O72" s="35">
        <f t="shared" si="1"/>
        <v>56</v>
      </c>
      <c r="P72" s="170">
        <f t="shared" si="1"/>
        <v>16794.400000000001</v>
      </c>
      <c r="Q72" s="61"/>
      <c r="R72" s="61"/>
    </row>
    <row r="73" spans="1:18" s="62" customFormat="1" ht="25.5" customHeight="1">
      <c r="A73" s="59"/>
      <c r="B73" s="60"/>
      <c r="C73" s="60"/>
      <c r="D73" s="79" t="s">
        <v>24</v>
      </c>
      <c r="E73" s="75">
        <v>2301400</v>
      </c>
      <c r="F73" s="173" t="s">
        <v>64</v>
      </c>
      <c r="G73" s="114">
        <v>43193</v>
      </c>
      <c r="H73" s="115">
        <v>605</v>
      </c>
      <c r="I73" s="22">
        <v>0</v>
      </c>
      <c r="J73" s="170">
        <v>0</v>
      </c>
      <c r="K73" s="35">
        <v>510</v>
      </c>
      <c r="L73" s="170">
        <v>152949</v>
      </c>
      <c r="M73" s="35">
        <v>0</v>
      </c>
      <c r="N73" s="170">
        <v>0</v>
      </c>
      <c r="O73" s="35">
        <f t="shared" si="1"/>
        <v>510</v>
      </c>
      <c r="P73" s="170">
        <f t="shared" si="1"/>
        <v>152949</v>
      </c>
      <c r="Q73" s="61"/>
      <c r="R73" s="61"/>
    </row>
    <row r="74" spans="1:18" s="62" customFormat="1" ht="27.75" customHeight="1">
      <c r="A74" s="59"/>
      <c r="B74" s="60"/>
      <c r="C74" s="60"/>
      <c r="D74" s="79" t="s">
        <v>24</v>
      </c>
      <c r="E74" s="75">
        <v>2301400</v>
      </c>
      <c r="F74" s="51" t="s">
        <v>57</v>
      </c>
      <c r="G74" s="114">
        <v>43096</v>
      </c>
      <c r="H74" s="115">
        <v>1745</v>
      </c>
      <c r="I74" s="22">
        <v>0</v>
      </c>
      <c r="J74" s="170">
        <v>0</v>
      </c>
      <c r="K74" s="35">
        <v>6637</v>
      </c>
      <c r="L74" s="170">
        <v>102541.65</v>
      </c>
      <c r="M74" s="35">
        <v>0</v>
      </c>
      <c r="N74" s="170">
        <v>0</v>
      </c>
      <c r="O74" s="35">
        <f t="shared" si="1"/>
        <v>6637</v>
      </c>
      <c r="P74" s="170">
        <f t="shared" si="1"/>
        <v>102541.65</v>
      </c>
      <c r="Q74" s="61"/>
      <c r="R74" s="61"/>
    </row>
    <row r="75" spans="1:18" s="62" customFormat="1" ht="27.75" customHeight="1">
      <c r="A75" s="59"/>
      <c r="B75" s="60"/>
      <c r="C75" s="60"/>
      <c r="D75" s="79" t="s">
        <v>24</v>
      </c>
      <c r="E75" s="75">
        <v>2301400</v>
      </c>
      <c r="F75" s="51" t="s">
        <v>57</v>
      </c>
      <c r="G75" s="114">
        <v>43222</v>
      </c>
      <c r="H75" s="115">
        <v>834</v>
      </c>
      <c r="I75" s="22">
        <v>0</v>
      </c>
      <c r="J75" s="170">
        <v>0</v>
      </c>
      <c r="K75" s="35">
        <v>144</v>
      </c>
      <c r="L75" s="170">
        <v>2142.7199999999998</v>
      </c>
      <c r="M75" s="35">
        <v>0</v>
      </c>
      <c r="N75" s="170">
        <v>0</v>
      </c>
      <c r="O75" s="35">
        <f t="shared" si="1"/>
        <v>144</v>
      </c>
      <c r="P75" s="170">
        <f t="shared" si="1"/>
        <v>2142.7199999999998</v>
      </c>
      <c r="Q75" s="61"/>
      <c r="R75" s="61"/>
    </row>
    <row r="76" spans="1:18" s="62" customFormat="1" ht="26.25" customHeight="1">
      <c r="A76" s="59"/>
      <c r="B76" s="60"/>
      <c r="C76" s="60"/>
      <c r="D76" s="79" t="s">
        <v>24</v>
      </c>
      <c r="E76" s="75">
        <v>2301400</v>
      </c>
      <c r="F76" s="178" t="s">
        <v>58</v>
      </c>
      <c r="G76" s="114">
        <v>43096</v>
      </c>
      <c r="H76" s="115">
        <v>1745</v>
      </c>
      <c r="I76" s="22">
        <v>0</v>
      </c>
      <c r="J76" s="170">
        <v>0</v>
      </c>
      <c r="K76" s="35">
        <v>4</v>
      </c>
      <c r="L76" s="170">
        <v>9062.24</v>
      </c>
      <c r="M76" s="35">
        <v>0</v>
      </c>
      <c r="N76" s="170">
        <v>0</v>
      </c>
      <c r="O76" s="35">
        <f t="shared" si="1"/>
        <v>4</v>
      </c>
      <c r="P76" s="170">
        <f t="shared" si="1"/>
        <v>9062.24</v>
      </c>
      <c r="Q76" s="61"/>
      <c r="R76" s="61"/>
    </row>
    <row r="77" spans="1:18" s="62" customFormat="1" ht="26.25" customHeight="1">
      <c r="A77" s="59"/>
      <c r="B77" s="60"/>
      <c r="C77" s="60"/>
      <c r="D77" s="79" t="s">
        <v>24</v>
      </c>
      <c r="E77" s="75">
        <v>2301400</v>
      </c>
      <c r="F77" s="178" t="s">
        <v>58</v>
      </c>
      <c r="G77" s="114">
        <v>43222</v>
      </c>
      <c r="H77" s="115">
        <v>834</v>
      </c>
      <c r="I77" s="22">
        <v>0</v>
      </c>
      <c r="J77" s="170">
        <v>0</v>
      </c>
      <c r="K77" s="35">
        <v>2</v>
      </c>
      <c r="L77" s="170">
        <v>4531.12</v>
      </c>
      <c r="M77" s="35">
        <v>0</v>
      </c>
      <c r="N77" s="170">
        <v>0</v>
      </c>
      <c r="O77" s="35">
        <f t="shared" si="1"/>
        <v>2</v>
      </c>
      <c r="P77" s="170">
        <f t="shared" si="1"/>
        <v>4531.12</v>
      </c>
      <c r="Q77" s="61"/>
      <c r="R77" s="61"/>
    </row>
    <row r="78" spans="1:18" s="62" customFormat="1" ht="26.25" customHeight="1">
      <c r="A78" s="59"/>
      <c r="B78" s="60"/>
      <c r="C78" s="60"/>
      <c r="D78" s="79" t="s">
        <v>24</v>
      </c>
      <c r="E78" s="75">
        <v>2301400</v>
      </c>
      <c r="F78" s="82" t="s">
        <v>61</v>
      </c>
      <c r="G78" s="114">
        <v>42761</v>
      </c>
      <c r="H78" s="115">
        <v>135</v>
      </c>
      <c r="I78" s="22">
        <v>0</v>
      </c>
      <c r="J78" s="170">
        <v>0</v>
      </c>
      <c r="K78" s="35">
        <v>14</v>
      </c>
      <c r="L78" s="170">
        <v>774.48</v>
      </c>
      <c r="M78" s="35">
        <v>0</v>
      </c>
      <c r="N78" s="170">
        <v>0</v>
      </c>
      <c r="O78" s="35">
        <f t="shared" si="1"/>
        <v>14</v>
      </c>
      <c r="P78" s="170">
        <f t="shared" si="1"/>
        <v>774.48</v>
      </c>
      <c r="Q78" s="61"/>
      <c r="R78" s="61"/>
    </row>
    <row r="79" spans="1:18" s="62" customFormat="1" ht="26.25" customHeight="1">
      <c r="A79" s="59"/>
      <c r="B79" s="60"/>
      <c r="C79" s="60"/>
      <c r="D79" s="79" t="s">
        <v>24</v>
      </c>
      <c r="E79" s="75">
        <v>2301400</v>
      </c>
      <c r="F79" s="82" t="s">
        <v>61</v>
      </c>
      <c r="G79" s="114">
        <v>43222</v>
      </c>
      <c r="H79" s="115">
        <v>834</v>
      </c>
      <c r="I79" s="22">
        <v>0</v>
      </c>
      <c r="J79" s="170">
        <v>0</v>
      </c>
      <c r="K79" s="35">
        <v>26</v>
      </c>
      <c r="L79" s="170">
        <v>1438.32</v>
      </c>
      <c r="M79" s="35">
        <v>0</v>
      </c>
      <c r="N79" s="170">
        <v>0</v>
      </c>
      <c r="O79" s="35">
        <f t="shared" si="1"/>
        <v>26</v>
      </c>
      <c r="P79" s="170">
        <f t="shared" si="1"/>
        <v>1438.32</v>
      </c>
      <c r="Q79" s="61"/>
      <c r="R79" s="61"/>
    </row>
    <row r="80" spans="1:18" s="62" customFormat="1" ht="26.25" customHeight="1">
      <c r="A80" s="59"/>
      <c r="B80" s="60"/>
      <c r="C80" s="60"/>
      <c r="D80" s="79" t="s">
        <v>24</v>
      </c>
      <c r="E80" s="75">
        <v>2301400</v>
      </c>
      <c r="F80" s="179" t="s">
        <v>62</v>
      </c>
      <c r="G80" s="114">
        <v>42761</v>
      </c>
      <c r="H80" s="115">
        <v>135</v>
      </c>
      <c r="I80" s="22">
        <v>0</v>
      </c>
      <c r="J80" s="170">
        <v>0</v>
      </c>
      <c r="K80" s="35">
        <v>6</v>
      </c>
      <c r="L80" s="170">
        <v>4549.08</v>
      </c>
      <c r="M80" s="35">
        <v>0</v>
      </c>
      <c r="N80" s="170">
        <v>0</v>
      </c>
      <c r="O80" s="35">
        <f t="shared" si="1"/>
        <v>6</v>
      </c>
      <c r="P80" s="170">
        <f t="shared" si="1"/>
        <v>4549.08</v>
      </c>
      <c r="Q80" s="61"/>
      <c r="R80" s="61"/>
    </row>
    <row r="81" spans="1:18" s="62" customFormat="1" ht="26.25" customHeight="1">
      <c r="A81" s="59"/>
      <c r="B81" s="60"/>
      <c r="C81" s="60"/>
      <c r="D81" s="79" t="s">
        <v>24</v>
      </c>
      <c r="E81" s="75">
        <v>2301400</v>
      </c>
      <c r="F81" s="179" t="s">
        <v>62</v>
      </c>
      <c r="G81" s="114">
        <v>43222</v>
      </c>
      <c r="H81" s="115">
        <v>834</v>
      </c>
      <c r="I81" s="22">
        <v>0</v>
      </c>
      <c r="J81" s="170">
        <v>0</v>
      </c>
      <c r="K81" s="35">
        <v>10</v>
      </c>
      <c r="L81" s="170">
        <v>7581.8</v>
      </c>
      <c r="M81" s="35">
        <v>0</v>
      </c>
      <c r="N81" s="170">
        <v>0</v>
      </c>
      <c r="O81" s="35">
        <f t="shared" si="1"/>
        <v>10</v>
      </c>
      <c r="P81" s="170">
        <f t="shared" si="1"/>
        <v>7581.8</v>
      </c>
      <c r="Q81" s="61"/>
      <c r="R81" s="61"/>
    </row>
    <row r="82" spans="1:18" s="62" customFormat="1" ht="26.25" customHeight="1">
      <c r="A82" s="59"/>
      <c r="B82" s="60"/>
      <c r="C82" s="60"/>
      <c r="D82" s="79" t="s">
        <v>24</v>
      </c>
      <c r="E82" s="75">
        <v>2301400</v>
      </c>
      <c r="F82" s="135" t="s">
        <v>66</v>
      </c>
      <c r="G82" s="114">
        <v>43145</v>
      </c>
      <c r="H82" s="115">
        <v>260</v>
      </c>
      <c r="I82" s="22">
        <v>0</v>
      </c>
      <c r="J82" s="170">
        <v>0</v>
      </c>
      <c r="K82" s="35">
        <v>2</v>
      </c>
      <c r="L82" s="170">
        <v>4040.8</v>
      </c>
      <c r="M82" s="35">
        <v>0</v>
      </c>
      <c r="N82" s="170">
        <v>0</v>
      </c>
      <c r="O82" s="35">
        <f t="shared" si="1"/>
        <v>2</v>
      </c>
      <c r="P82" s="170">
        <f t="shared" si="1"/>
        <v>4040.8</v>
      </c>
      <c r="Q82" s="61"/>
      <c r="R82" s="61"/>
    </row>
    <row r="83" spans="1:18" s="10" customFormat="1" ht="21" customHeight="1">
      <c r="A83" s="20" t="s">
        <v>11</v>
      </c>
      <c r="B83" s="20"/>
      <c r="C83" s="20"/>
      <c r="D83" s="695" t="s">
        <v>34</v>
      </c>
      <c r="E83" s="696"/>
      <c r="F83" s="696"/>
      <c r="G83" s="696"/>
      <c r="H83" s="697"/>
      <c r="I83" s="176">
        <f>SUM(I19:I42)</f>
        <v>1342</v>
      </c>
      <c r="J83" s="171">
        <f>SUM(J19:J68)</f>
        <v>493758.06</v>
      </c>
      <c r="K83" s="176">
        <f t="shared" ref="K83:P83" si="3">SUM(K19:K82)</f>
        <v>12342</v>
      </c>
      <c r="L83" s="171">
        <f t="shared" si="3"/>
        <v>1372702.1300000001</v>
      </c>
      <c r="M83" s="48">
        <f t="shared" si="3"/>
        <v>550</v>
      </c>
      <c r="N83" s="171">
        <f t="shared" si="3"/>
        <v>207699.25</v>
      </c>
      <c r="O83" s="176">
        <f t="shared" si="3"/>
        <v>13134</v>
      </c>
      <c r="P83" s="171">
        <f t="shared" si="3"/>
        <v>1658760.94</v>
      </c>
      <c r="Q83" s="26">
        <f>SUM(Q19:Q23)</f>
        <v>0</v>
      </c>
      <c r="R83" s="27"/>
    </row>
    <row r="84" spans="1:18">
      <c r="A84" s="19"/>
      <c r="B84" s="19"/>
      <c r="C84" s="19"/>
      <c r="I84" s="10"/>
      <c r="J84" s="10"/>
      <c r="K84" s="10"/>
      <c r="L84" s="10"/>
      <c r="M84" s="159"/>
      <c r="N84" s="159"/>
      <c r="O84" s="159"/>
      <c r="P84" s="159"/>
      <c r="Q84" s="10"/>
    </row>
    <row r="85" spans="1:18" ht="15.75">
      <c r="A85" s="28"/>
      <c r="B85" s="28"/>
      <c r="C85" s="28"/>
      <c r="D85" s="28"/>
      <c r="E85" s="28"/>
      <c r="F85" s="28"/>
      <c r="G85" s="108"/>
      <c r="H85" s="28"/>
      <c r="I85" s="11"/>
      <c r="J85" s="9"/>
      <c r="K85" s="11"/>
      <c r="L85" s="9"/>
      <c r="M85" s="9"/>
      <c r="N85" s="47"/>
      <c r="O85" s="47"/>
      <c r="P85" s="91"/>
    </row>
    <row r="86" spans="1:18" ht="18.75">
      <c r="A86" s="28"/>
      <c r="B86" s="28"/>
      <c r="C86" s="28"/>
      <c r="D86" s="28"/>
      <c r="E86" s="693" t="s">
        <v>25</v>
      </c>
      <c r="F86" s="693"/>
      <c r="G86" s="693"/>
      <c r="H86" s="693"/>
      <c r="I86" s="693"/>
      <c r="J86" s="693"/>
      <c r="K86" s="693"/>
      <c r="L86" s="693"/>
      <c r="M86" s="693"/>
      <c r="N86" s="693"/>
      <c r="O86" s="47"/>
      <c r="P86" s="12"/>
    </row>
    <row r="87" spans="1:18" ht="15" customHeight="1">
      <c r="A87" s="43"/>
      <c r="B87" s="43"/>
      <c r="C87" s="43"/>
      <c r="D87" s="43"/>
      <c r="E87" s="163"/>
      <c r="F87" s="166"/>
      <c r="G87" s="109"/>
      <c r="H87" s="32"/>
      <c r="I87" s="38"/>
      <c r="J87" s="32"/>
      <c r="K87" s="38"/>
      <c r="L87" s="32"/>
      <c r="M87" s="32"/>
      <c r="N87" s="39"/>
      <c r="O87" s="47"/>
      <c r="P87" s="12"/>
    </row>
    <row r="88" spans="1:18" ht="18" customHeight="1">
      <c r="A88" s="44" t="s">
        <v>12</v>
      </c>
      <c r="B88" s="44"/>
      <c r="C88" s="44"/>
      <c r="D88" s="44"/>
      <c r="E88" s="34"/>
      <c r="F88" s="40"/>
      <c r="G88" s="110"/>
      <c r="H88" s="40"/>
      <c r="I88" s="40"/>
      <c r="J88" s="40"/>
      <c r="K88" s="40"/>
      <c r="L88" s="40"/>
      <c r="M88" s="40"/>
      <c r="N88" s="40"/>
      <c r="O88" s="160"/>
      <c r="P88" s="13"/>
    </row>
    <row r="89" spans="1:18" ht="18.75">
      <c r="A89" s="9"/>
      <c r="B89" s="9"/>
      <c r="C89" s="9"/>
      <c r="D89" s="9"/>
      <c r="E89" s="694" t="s">
        <v>20</v>
      </c>
      <c r="F89" s="694"/>
      <c r="G89" s="694"/>
      <c r="H89" s="694"/>
      <c r="I89" s="694"/>
      <c r="J89" s="694"/>
      <c r="K89" s="694"/>
      <c r="L89" s="694"/>
      <c r="M89" s="694"/>
      <c r="N89" s="694"/>
      <c r="O89" s="9"/>
      <c r="P89" s="13"/>
    </row>
    <row r="90" spans="1:18" ht="15.75">
      <c r="A90" s="44"/>
      <c r="B90" s="44"/>
      <c r="C90" s="44"/>
      <c r="D90" s="44"/>
      <c r="E90" s="46" t="s">
        <v>26</v>
      </c>
      <c r="F90" s="44"/>
      <c r="G90" s="111"/>
      <c r="H90" s="45"/>
      <c r="I90" s="45"/>
      <c r="J90" s="45"/>
      <c r="K90" s="45"/>
      <c r="L90" s="45"/>
      <c r="M90" s="160"/>
      <c r="N90" s="160"/>
      <c r="O90" s="160"/>
    </row>
    <row r="91" spans="1:18" s="94" customFormat="1" ht="36" customHeight="1">
      <c r="A91" s="9"/>
      <c r="B91" s="9"/>
      <c r="C91" s="9"/>
      <c r="D91" s="676" t="s">
        <v>38</v>
      </c>
      <c r="E91" s="676"/>
      <c r="F91" s="676"/>
      <c r="G91" s="112"/>
      <c r="H91" s="9"/>
      <c r="I91" s="11"/>
      <c r="J91" s="9"/>
      <c r="K91" s="11"/>
      <c r="L91" s="9"/>
      <c r="M91" s="9"/>
      <c r="N91" s="9"/>
      <c r="O91" s="9"/>
      <c r="Q91"/>
      <c r="R91"/>
    </row>
  </sheetData>
  <mergeCells count="16">
    <mergeCell ref="D91:F91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83:H83"/>
    <mergeCell ref="E86:N86"/>
    <mergeCell ref="E89:N89"/>
  </mergeCells>
  <pageMargins left="0.31496062992125984" right="0.31496062992125984" top="0.11811023622047245" bottom="0.39370078740157483" header="0.23622047244094491" footer="0.51181102362204722"/>
  <pageSetup paperSize="9" scale="66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91"/>
  <sheetViews>
    <sheetView view="pageBreakPreview" topLeftCell="C62" zoomScale="85" zoomScaleSheetLayoutView="85" workbookViewId="0">
      <selection activeCell="F69" sqref="F69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style="94" customWidth="1"/>
    <col min="14" max="14" width="15" style="94" customWidth="1"/>
    <col min="15" max="15" width="11.7109375" style="94" customWidth="1"/>
    <col min="16" max="16" width="15.5703125" style="94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  <c r="N3" s="94"/>
      <c r="O3" s="94"/>
      <c r="P3" s="94"/>
    </row>
    <row r="4" spans="1:16" s="1" customFormat="1">
      <c r="E4" s="15"/>
      <c r="F4" s="2"/>
      <c r="G4" s="105"/>
      <c r="J4" s="30"/>
      <c r="M4" s="30" t="s">
        <v>21</v>
      </c>
      <c r="N4" s="94"/>
      <c r="O4" s="94"/>
      <c r="P4" s="94"/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  <c r="N5" s="94"/>
      <c r="O5" s="94"/>
      <c r="P5" s="94"/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  <c r="N6" s="94"/>
      <c r="O6" s="94"/>
      <c r="P6" s="94"/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  <c r="M7" s="94"/>
      <c r="N7" s="94"/>
      <c r="O7" s="94"/>
      <c r="P7" s="9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  <c r="M8" s="94"/>
      <c r="N8" s="94"/>
      <c r="O8" s="94"/>
      <c r="P8" s="9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94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  <c r="M10" s="94"/>
      <c r="N10" s="94"/>
      <c r="O10" s="94"/>
      <c r="P10" s="9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70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158"/>
      <c r="N14" s="158"/>
      <c r="O14" s="158"/>
      <c r="P14" s="94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94"/>
      <c r="P15" s="94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82">
        <v>2</v>
      </c>
      <c r="F18" s="181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167">
        <v>169.84</v>
      </c>
      <c r="K19" s="70"/>
      <c r="L19" s="167"/>
      <c r="M19" s="189">
        <v>2</v>
      </c>
      <c r="N19" s="190">
        <v>107.75</v>
      </c>
      <c r="O19" s="189">
        <f t="shared" ref="O19:P36" si="0">I19+K19-M19</f>
        <v>4</v>
      </c>
      <c r="P19" s="190">
        <f t="shared" si="0"/>
        <v>62.09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135" t="s">
        <v>31</v>
      </c>
      <c r="G20" s="76">
        <v>42347</v>
      </c>
      <c r="H20" s="22">
        <v>833</v>
      </c>
      <c r="I20" s="35">
        <v>1</v>
      </c>
      <c r="J20" s="170">
        <v>1026.1600000000001</v>
      </c>
      <c r="K20" s="35"/>
      <c r="L20" s="170"/>
      <c r="M20" s="35"/>
      <c r="N20" s="170"/>
      <c r="O20" s="156">
        <f t="shared" si="0"/>
        <v>1</v>
      </c>
      <c r="P20" s="170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135" t="s">
        <v>31</v>
      </c>
      <c r="G21" s="76">
        <v>42647</v>
      </c>
      <c r="H21" s="22">
        <v>1034</v>
      </c>
      <c r="I21" s="35">
        <v>1</v>
      </c>
      <c r="J21" s="170">
        <v>1026.1600000000001</v>
      </c>
      <c r="K21" s="35"/>
      <c r="L21" s="170"/>
      <c r="M21" s="35"/>
      <c r="N21" s="170"/>
      <c r="O21" s="156">
        <f t="shared" si="0"/>
        <v>1</v>
      </c>
      <c r="P21" s="170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178" t="s">
        <v>29</v>
      </c>
      <c r="G22" s="54">
        <v>42347</v>
      </c>
      <c r="H22" s="55">
        <v>833</v>
      </c>
      <c r="I22" s="35">
        <v>1</v>
      </c>
      <c r="J22" s="170">
        <v>2094.4</v>
      </c>
      <c r="K22" s="35"/>
      <c r="L22" s="170"/>
      <c r="M22" s="35"/>
      <c r="N22" s="170"/>
      <c r="O22" s="156">
        <f t="shared" si="0"/>
        <v>1</v>
      </c>
      <c r="P22" s="170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178" t="s">
        <v>29</v>
      </c>
      <c r="G23" s="83">
        <v>42647</v>
      </c>
      <c r="H23" s="84">
        <v>1034</v>
      </c>
      <c r="I23" s="35">
        <v>1</v>
      </c>
      <c r="J23" s="170">
        <v>2094.4</v>
      </c>
      <c r="K23" s="35"/>
      <c r="L23" s="170"/>
      <c r="M23" s="35"/>
      <c r="N23" s="170"/>
      <c r="O23" s="156">
        <f t="shared" si="0"/>
        <v>1</v>
      </c>
      <c r="P23" s="170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155" t="s">
        <v>32</v>
      </c>
      <c r="G24" s="54">
        <v>42347</v>
      </c>
      <c r="H24" s="55">
        <v>833</v>
      </c>
      <c r="I24" s="35">
        <v>6</v>
      </c>
      <c r="J24" s="170">
        <v>4721.3999999999996</v>
      </c>
      <c r="K24" s="35"/>
      <c r="L24" s="170"/>
      <c r="M24" s="35"/>
      <c r="N24" s="170"/>
      <c r="O24" s="156">
        <f t="shared" si="0"/>
        <v>6</v>
      </c>
      <c r="P24" s="170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88" t="s">
        <v>40</v>
      </c>
      <c r="G25" s="114">
        <v>42976</v>
      </c>
      <c r="H25" s="115">
        <v>977</v>
      </c>
      <c r="I25" s="35">
        <v>4</v>
      </c>
      <c r="J25" s="170">
        <v>8081.6</v>
      </c>
      <c r="K25" s="35"/>
      <c r="L25" s="170"/>
      <c r="M25" s="35"/>
      <c r="N25" s="170"/>
      <c r="O25" s="156">
        <f t="shared" si="0"/>
        <v>4</v>
      </c>
      <c r="P25" s="172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177" t="s">
        <v>41</v>
      </c>
      <c r="G26" s="114">
        <v>43046</v>
      </c>
      <c r="H26" s="115">
        <v>1379</v>
      </c>
      <c r="I26" s="35">
        <v>180</v>
      </c>
      <c r="J26" s="170">
        <v>25070.400000000001</v>
      </c>
      <c r="K26" s="35"/>
      <c r="L26" s="170"/>
      <c r="M26" s="156">
        <f>60+60</f>
        <v>120</v>
      </c>
      <c r="N26" s="172">
        <f>8356.8+8356.8</f>
        <v>16713.599999999999</v>
      </c>
      <c r="O26" s="156">
        <f t="shared" si="0"/>
        <v>60</v>
      </c>
      <c r="P26" s="172">
        <f t="shared" si="0"/>
        <v>8356.8000000000029</v>
      </c>
      <c r="Q26" s="61"/>
      <c r="R26" s="61"/>
    </row>
    <row r="27" spans="1:18" s="62" customFormat="1" ht="24.75" customHeight="1">
      <c r="A27" s="59"/>
      <c r="B27" s="60"/>
      <c r="C27" s="60"/>
      <c r="D27" s="79" t="s">
        <v>24</v>
      </c>
      <c r="E27" s="75">
        <v>2301400</v>
      </c>
      <c r="F27" s="177" t="s">
        <v>41</v>
      </c>
      <c r="G27" s="114">
        <v>43222</v>
      </c>
      <c r="H27" s="115">
        <v>834</v>
      </c>
      <c r="I27" s="35">
        <v>0</v>
      </c>
      <c r="J27" s="170">
        <v>0</v>
      </c>
      <c r="K27" s="35">
        <v>40</v>
      </c>
      <c r="L27" s="170">
        <v>5571.2</v>
      </c>
      <c r="M27" s="35">
        <v>0</v>
      </c>
      <c r="N27" s="170">
        <v>0</v>
      </c>
      <c r="O27" s="156">
        <f>I27+K27-M27</f>
        <v>40</v>
      </c>
      <c r="P27" s="170">
        <f>J27+L27-N27</f>
        <v>5571.2</v>
      </c>
      <c r="Q27" s="61"/>
      <c r="R27" s="61"/>
    </row>
    <row r="28" spans="1:18" s="62" customFormat="1" ht="31.5">
      <c r="A28" s="59"/>
      <c r="B28" s="60"/>
      <c r="C28" s="60"/>
      <c r="D28" s="79" t="s">
        <v>24</v>
      </c>
      <c r="E28" s="75">
        <v>2301400</v>
      </c>
      <c r="F28" s="179" t="s">
        <v>53</v>
      </c>
      <c r="G28" s="114">
        <v>43046</v>
      </c>
      <c r="H28" s="115">
        <v>1379</v>
      </c>
      <c r="I28" s="35">
        <v>180</v>
      </c>
      <c r="J28" s="170">
        <v>94469.4</v>
      </c>
      <c r="K28" s="35"/>
      <c r="L28" s="170"/>
      <c r="M28" s="156">
        <f>60+60</f>
        <v>120</v>
      </c>
      <c r="N28" s="172">
        <f>31489.8+31489.8</f>
        <v>62979.6</v>
      </c>
      <c r="O28" s="156">
        <f t="shared" si="0"/>
        <v>60</v>
      </c>
      <c r="P28" s="172">
        <f t="shared" si="0"/>
        <v>31489.799999999996</v>
      </c>
      <c r="Q28" s="61"/>
      <c r="R28" s="61"/>
    </row>
    <row r="29" spans="1:18" s="62" customFormat="1" ht="31.5">
      <c r="A29" s="59"/>
      <c r="B29" s="60"/>
      <c r="C29" s="60"/>
      <c r="D29" s="79" t="s">
        <v>24</v>
      </c>
      <c r="E29" s="75">
        <v>2301400</v>
      </c>
      <c r="F29" s="179" t="s">
        <v>53</v>
      </c>
      <c r="G29" s="114">
        <v>43222</v>
      </c>
      <c r="H29" s="115">
        <v>834</v>
      </c>
      <c r="I29" s="35">
        <v>0</v>
      </c>
      <c r="J29" s="170">
        <v>0</v>
      </c>
      <c r="K29" s="35">
        <v>39</v>
      </c>
      <c r="L29" s="170">
        <v>20468.37</v>
      </c>
      <c r="M29" s="35">
        <v>0</v>
      </c>
      <c r="N29" s="170">
        <v>0</v>
      </c>
      <c r="O29" s="156">
        <f>I29+K29-M29</f>
        <v>39</v>
      </c>
      <c r="P29" s="170">
        <f>J29+L29-N29</f>
        <v>20468.37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149" t="s">
        <v>44</v>
      </c>
      <c r="G30" s="114">
        <v>43066</v>
      </c>
      <c r="H30" s="115">
        <v>1476</v>
      </c>
      <c r="I30" s="35">
        <v>5</v>
      </c>
      <c r="J30" s="170">
        <v>1010.9</v>
      </c>
      <c r="K30" s="35"/>
      <c r="L30" s="170"/>
      <c r="M30" s="35"/>
      <c r="N30" s="170"/>
      <c r="O30" s="156">
        <f t="shared" si="0"/>
        <v>5</v>
      </c>
      <c r="P30" s="170">
        <f t="shared" si="0"/>
        <v>1010.9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149" t="s">
        <v>44</v>
      </c>
      <c r="G31" s="114">
        <v>43061</v>
      </c>
      <c r="H31" s="115" t="s">
        <v>59</v>
      </c>
      <c r="I31" s="35">
        <v>205</v>
      </c>
      <c r="J31" s="170">
        <v>41446.9</v>
      </c>
      <c r="K31" s="35"/>
      <c r="L31" s="170"/>
      <c r="M31" s="35"/>
      <c r="N31" s="170"/>
      <c r="O31" s="156">
        <f t="shared" si="0"/>
        <v>205</v>
      </c>
      <c r="P31" s="170">
        <f t="shared" si="0"/>
        <v>41446.9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51" t="s">
        <v>55</v>
      </c>
      <c r="G32" s="114">
        <v>43046</v>
      </c>
      <c r="H32" s="115">
        <v>1379</v>
      </c>
      <c r="I32" s="35">
        <v>44</v>
      </c>
      <c r="J32" s="170">
        <v>13134</v>
      </c>
      <c r="K32" s="35"/>
      <c r="L32" s="170"/>
      <c r="M32" s="35">
        <f>30+14</f>
        <v>44</v>
      </c>
      <c r="N32" s="170">
        <f>8955+4179</f>
        <v>13134</v>
      </c>
      <c r="O32" s="35">
        <f t="shared" si="0"/>
        <v>0</v>
      </c>
      <c r="P32" s="170">
        <f t="shared" si="0"/>
        <v>0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51" t="s">
        <v>55</v>
      </c>
      <c r="G33" s="114">
        <v>43066</v>
      </c>
      <c r="H33" s="115">
        <v>1476</v>
      </c>
      <c r="I33" s="35">
        <v>6</v>
      </c>
      <c r="J33" s="170">
        <v>1791</v>
      </c>
      <c r="K33" s="35"/>
      <c r="L33" s="170"/>
      <c r="M33" s="35">
        <f>6</f>
        <v>6</v>
      </c>
      <c r="N33" s="170">
        <v>1791</v>
      </c>
      <c r="O33" s="35">
        <f t="shared" si="0"/>
        <v>0</v>
      </c>
      <c r="P33" s="170">
        <f t="shared" si="0"/>
        <v>0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55" t="s">
        <v>55</v>
      </c>
      <c r="G34" s="114">
        <v>43061</v>
      </c>
      <c r="H34" s="115" t="s">
        <v>59</v>
      </c>
      <c r="I34" s="35">
        <v>36</v>
      </c>
      <c r="J34" s="170">
        <v>10746</v>
      </c>
      <c r="K34" s="35"/>
      <c r="L34" s="170"/>
      <c r="M34" s="156">
        <f>25+11</f>
        <v>36</v>
      </c>
      <c r="N34" s="172">
        <f>7462.5+3283.5</f>
        <v>10746</v>
      </c>
      <c r="O34" s="156">
        <f t="shared" si="0"/>
        <v>0</v>
      </c>
      <c r="P34" s="172">
        <f t="shared" si="0"/>
        <v>0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55" t="s">
        <v>55</v>
      </c>
      <c r="G35" s="114">
        <v>43061</v>
      </c>
      <c r="H35" s="115" t="s">
        <v>59</v>
      </c>
      <c r="I35" s="35">
        <v>86</v>
      </c>
      <c r="J35" s="170">
        <v>25671</v>
      </c>
      <c r="K35" s="35"/>
      <c r="L35" s="170"/>
      <c r="M35" s="156">
        <v>34</v>
      </c>
      <c r="N35" s="172">
        <f>10149</f>
        <v>10149</v>
      </c>
      <c r="O35" s="156">
        <f t="shared" si="0"/>
        <v>52</v>
      </c>
      <c r="P35" s="172">
        <f t="shared" si="0"/>
        <v>15522</v>
      </c>
      <c r="Q35" s="61"/>
      <c r="R35" s="61"/>
    </row>
    <row r="36" spans="1:18" s="62" customFormat="1" ht="26.25" customHeight="1">
      <c r="A36" s="59"/>
      <c r="B36" s="60"/>
      <c r="C36" s="60"/>
      <c r="D36" s="79" t="s">
        <v>24</v>
      </c>
      <c r="E36" s="75">
        <v>2301400</v>
      </c>
      <c r="F36" s="173" t="s">
        <v>56</v>
      </c>
      <c r="G36" s="114">
        <v>43046</v>
      </c>
      <c r="H36" s="115">
        <v>1379</v>
      </c>
      <c r="I36" s="35">
        <v>18</v>
      </c>
      <c r="J36" s="170">
        <v>5398.2</v>
      </c>
      <c r="K36" s="35"/>
      <c r="L36" s="170"/>
      <c r="M36" s="156">
        <v>18</v>
      </c>
      <c r="N36" s="172">
        <v>5398.2</v>
      </c>
      <c r="O36" s="156">
        <f t="shared" si="0"/>
        <v>0</v>
      </c>
      <c r="P36" s="172">
        <f t="shared" si="0"/>
        <v>0</v>
      </c>
      <c r="Q36" s="61"/>
      <c r="R36" s="61"/>
    </row>
    <row r="37" spans="1:18" s="62" customFormat="1" ht="26.25" customHeight="1">
      <c r="A37" s="59"/>
      <c r="B37" s="60"/>
      <c r="C37" s="60"/>
      <c r="D37" s="79" t="s">
        <v>24</v>
      </c>
      <c r="E37" s="75">
        <v>2301400</v>
      </c>
      <c r="F37" s="173" t="s">
        <v>56</v>
      </c>
      <c r="G37" s="114">
        <v>43066</v>
      </c>
      <c r="H37" s="115">
        <v>1476</v>
      </c>
      <c r="I37" s="35">
        <v>162</v>
      </c>
      <c r="J37" s="170">
        <v>48583.8</v>
      </c>
      <c r="K37" s="35"/>
      <c r="L37" s="170"/>
      <c r="M37" s="156">
        <v>20</v>
      </c>
      <c r="N37" s="172">
        <f>5998</f>
        <v>5998</v>
      </c>
      <c r="O37" s="156">
        <f t="shared" ref="O37:Q82" si="1">I37+K37-M37</f>
        <v>142</v>
      </c>
      <c r="P37" s="172">
        <f t="shared" si="1"/>
        <v>42585.8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43</v>
      </c>
      <c r="G38" s="114">
        <v>43047</v>
      </c>
      <c r="H38" s="115">
        <v>1381</v>
      </c>
      <c r="I38" s="35">
        <v>40</v>
      </c>
      <c r="J38" s="170">
        <v>21408.799999999999</v>
      </c>
      <c r="K38" s="35"/>
      <c r="L38" s="170"/>
      <c r="M38" s="35">
        <v>40</v>
      </c>
      <c r="N38" s="170">
        <v>21408.799999999999</v>
      </c>
      <c r="O38" s="35">
        <f t="shared" si="1"/>
        <v>0</v>
      </c>
      <c r="P38" s="170">
        <f t="shared" si="1"/>
        <v>0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162" t="s">
        <v>43</v>
      </c>
      <c r="G39" s="114">
        <v>43040</v>
      </c>
      <c r="H39" s="115">
        <v>1353</v>
      </c>
      <c r="I39" s="35">
        <v>210</v>
      </c>
      <c r="J39" s="170">
        <v>112396.2</v>
      </c>
      <c r="K39" s="35"/>
      <c r="L39" s="170"/>
      <c r="M39" s="35">
        <f>55+20+30</f>
        <v>105</v>
      </c>
      <c r="N39" s="170">
        <f>29437.1+10704.4+16056.6</f>
        <v>56198.1</v>
      </c>
      <c r="O39" s="156">
        <f t="shared" si="1"/>
        <v>105</v>
      </c>
      <c r="P39" s="170">
        <f t="shared" si="1"/>
        <v>56198.1</v>
      </c>
      <c r="Q39" s="61"/>
      <c r="R39" s="61"/>
    </row>
    <row r="40" spans="1:18" s="62" customFormat="1" ht="24" customHeight="1">
      <c r="A40" s="59"/>
      <c r="B40" s="60"/>
      <c r="C40" s="60"/>
      <c r="D40" s="79" t="s">
        <v>24</v>
      </c>
      <c r="E40" s="75">
        <v>2301400</v>
      </c>
      <c r="F40" s="162" t="s">
        <v>43</v>
      </c>
      <c r="G40" s="114">
        <v>43222</v>
      </c>
      <c r="H40" s="115">
        <v>834</v>
      </c>
      <c r="I40" s="35">
        <v>0</v>
      </c>
      <c r="J40" s="170">
        <v>0</v>
      </c>
      <c r="K40" s="35">
        <v>15</v>
      </c>
      <c r="L40" s="170">
        <v>8028.3</v>
      </c>
      <c r="M40" s="35">
        <v>0</v>
      </c>
      <c r="N40" s="170">
        <v>0</v>
      </c>
      <c r="O40" s="156">
        <f>I40+K40-M40</f>
        <v>15</v>
      </c>
      <c r="P40" s="170">
        <f>J40+L40-N40</f>
        <v>8028.3</v>
      </c>
      <c r="Q40" s="61"/>
      <c r="R40" s="61"/>
    </row>
    <row r="41" spans="1:18" s="62" customFormat="1" ht="24" customHeight="1">
      <c r="A41" s="59"/>
      <c r="B41" s="60"/>
      <c r="C41" s="60"/>
      <c r="D41" s="79" t="s">
        <v>24</v>
      </c>
      <c r="E41" s="75">
        <v>2301400</v>
      </c>
      <c r="F41" s="161" t="s">
        <v>48</v>
      </c>
      <c r="G41" s="114">
        <v>43052</v>
      </c>
      <c r="H41" s="115">
        <v>1405</v>
      </c>
      <c r="I41" s="35">
        <v>120</v>
      </c>
      <c r="J41" s="170">
        <v>58734</v>
      </c>
      <c r="K41" s="35"/>
      <c r="L41" s="170"/>
      <c r="M41" s="156">
        <f>15+30+10+25</f>
        <v>80</v>
      </c>
      <c r="N41" s="172">
        <f>7341.75+14683.5+4894.5+12236.25</f>
        <v>39156</v>
      </c>
      <c r="O41" s="156">
        <f t="shared" si="1"/>
        <v>40</v>
      </c>
      <c r="P41" s="172">
        <f t="shared" si="1"/>
        <v>19578</v>
      </c>
      <c r="Q41" s="61"/>
      <c r="R41" s="61"/>
    </row>
    <row r="42" spans="1:18" s="62" customFormat="1" ht="24" customHeight="1">
      <c r="A42" s="59"/>
      <c r="B42" s="60"/>
      <c r="C42" s="60"/>
      <c r="D42" s="79" t="s">
        <v>24</v>
      </c>
      <c r="E42" s="75">
        <v>2301400</v>
      </c>
      <c r="F42" s="51" t="s">
        <v>48</v>
      </c>
      <c r="G42" s="114">
        <v>43066</v>
      </c>
      <c r="H42" s="115">
        <v>1476</v>
      </c>
      <c r="I42" s="35">
        <v>30</v>
      </c>
      <c r="J42" s="170">
        <v>14683.5</v>
      </c>
      <c r="K42" s="35"/>
      <c r="L42" s="170"/>
      <c r="M42" s="35">
        <v>30</v>
      </c>
      <c r="N42" s="170">
        <v>14683.5</v>
      </c>
      <c r="O42" s="156">
        <f t="shared" si="1"/>
        <v>0</v>
      </c>
      <c r="P42" s="170">
        <f t="shared" si="1"/>
        <v>0</v>
      </c>
      <c r="Q42" s="77">
        <f t="shared" si="1"/>
        <v>30</v>
      </c>
      <c r="R42" s="61"/>
    </row>
    <row r="43" spans="1:18" s="62" customFormat="1" ht="24" customHeight="1">
      <c r="A43" s="59"/>
      <c r="B43" s="60"/>
      <c r="C43" s="60"/>
      <c r="D43" s="79" t="s">
        <v>24</v>
      </c>
      <c r="E43" s="75">
        <v>2301400</v>
      </c>
      <c r="F43" s="161" t="s">
        <v>48</v>
      </c>
      <c r="G43" s="114">
        <v>43182</v>
      </c>
      <c r="H43" s="115">
        <v>546</v>
      </c>
      <c r="I43" s="35">
        <v>0</v>
      </c>
      <c r="J43" s="170">
        <v>0</v>
      </c>
      <c r="K43" s="35">
        <v>65</v>
      </c>
      <c r="L43" s="170">
        <v>31814.25</v>
      </c>
      <c r="M43" s="35">
        <v>0</v>
      </c>
      <c r="N43" s="170">
        <v>0</v>
      </c>
      <c r="O43" s="156">
        <f t="shared" si="1"/>
        <v>65</v>
      </c>
      <c r="P43" s="170">
        <f t="shared" si="1"/>
        <v>31814.25</v>
      </c>
      <c r="Q43" s="61"/>
      <c r="R43" s="61"/>
    </row>
    <row r="44" spans="1:18" s="134" customFormat="1" ht="27" customHeight="1">
      <c r="A44" s="131"/>
      <c r="B44" s="132"/>
      <c r="C44" s="60"/>
      <c r="D44" s="79" t="s">
        <v>24</v>
      </c>
      <c r="E44" s="75">
        <v>2301400</v>
      </c>
      <c r="F44" s="149" t="s">
        <v>44</v>
      </c>
      <c r="G44" s="114">
        <v>43082</v>
      </c>
      <c r="H44" s="115">
        <v>1583</v>
      </c>
      <c r="I44" s="22">
        <v>0</v>
      </c>
      <c r="J44" s="170">
        <v>0</v>
      </c>
      <c r="K44" s="35">
        <v>50</v>
      </c>
      <c r="L44" s="170">
        <v>10109</v>
      </c>
      <c r="M44" s="35">
        <v>0</v>
      </c>
      <c r="N44" s="170">
        <v>0</v>
      </c>
      <c r="O44" s="156">
        <f>I44+K44-M44</f>
        <v>50</v>
      </c>
      <c r="P44" s="170">
        <f>J44+L44-N44</f>
        <v>10109</v>
      </c>
      <c r="Q44" s="133"/>
      <c r="R44" s="133"/>
    </row>
    <row r="45" spans="1:18" s="139" customFormat="1" ht="27" customHeight="1">
      <c r="A45" s="136"/>
      <c r="B45" s="137"/>
      <c r="C45" s="60"/>
      <c r="D45" s="79" t="s">
        <v>24</v>
      </c>
      <c r="E45" s="75">
        <v>2301400</v>
      </c>
      <c r="F45" s="149" t="s">
        <v>54</v>
      </c>
      <c r="G45" s="114">
        <v>43096</v>
      </c>
      <c r="H45" s="115">
        <v>1745</v>
      </c>
      <c r="I45" s="22">
        <v>0</v>
      </c>
      <c r="J45" s="170">
        <v>0</v>
      </c>
      <c r="K45" s="35">
        <v>45</v>
      </c>
      <c r="L45" s="170">
        <v>9098.1</v>
      </c>
      <c r="M45" s="35">
        <v>0</v>
      </c>
      <c r="N45" s="170">
        <v>0</v>
      </c>
      <c r="O45" s="156">
        <f t="shared" ref="O45:P50" si="2">I45+K45-M45</f>
        <v>45</v>
      </c>
      <c r="P45" s="170">
        <f t="shared" si="2"/>
        <v>9098.1</v>
      </c>
      <c r="Q45" s="138"/>
      <c r="R45" s="138"/>
    </row>
    <row r="46" spans="1:18" s="62" customFormat="1" ht="26.25" customHeight="1">
      <c r="A46" s="59"/>
      <c r="B46" s="60"/>
      <c r="C46" s="60"/>
      <c r="D46" s="79" t="s">
        <v>24</v>
      </c>
      <c r="E46" s="75">
        <v>2301400</v>
      </c>
      <c r="F46" s="149" t="s">
        <v>44</v>
      </c>
      <c r="G46" s="114">
        <v>43164</v>
      </c>
      <c r="H46" s="115">
        <v>426</v>
      </c>
      <c r="I46" s="22">
        <v>0</v>
      </c>
      <c r="J46" s="170">
        <v>0</v>
      </c>
      <c r="K46" s="35">
        <v>50</v>
      </c>
      <c r="L46" s="170">
        <v>10109</v>
      </c>
      <c r="M46" s="35">
        <v>0</v>
      </c>
      <c r="N46" s="170">
        <v>0</v>
      </c>
      <c r="O46" s="156">
        <f t="shared" si="2"/>
        <v>50</v>
      </c>
      <c r="P46" s="170">
        <f t="shared" si="2"/>
        <v>10109</v>
      </c>
      <c r="Q46" s="61"/>
      <c r="R46" s="61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149" t="s">
        <v>44</v>
      </c>
      <c r="G47" s="114">
        <v>43145</v>
      </c>
      <c r="H47" s="115">
        <v>260</v>
      </c>
      <c r="I47" s="22">
        <v>0</v>
      </c>
      <c r="J47" s="170">
        <v>0</v>
      </c>
      <c r="K47" s="35">
        <v>110</v>
      </c>
      <c r="L47" s="170">
        <v>22239.8</v>
      </c>
      <c r="M47" s="35">
        <v>0</v>
      </c>
      <c r="N47" s="170">
        <v>0</v>
      </c>
      <c r="O47" s="156">
        <f t="shared" si="2"/>
        <v>110</v>
      </c>
      <c r="P47" s="170">
        <f t="shared" si="2"/>
        <v>22239.8</v>
      </c>
      <c r="Q47" s="61"/>
      <c r="R47" s="61"/>
    </row>
    <row r="48" spans="1:18" s="62" customFormat="1" ht="26.25" customHeight="1">
      <c r="A48" s="59"/>
      <c r="B48" s="60"/>
      <c r="C48" s="60"/>
      <c r="D48" s="79" t="s">
        <v>24</v>
      </c>
      <c r="E48" s="75">
        <v>2301400</v>
      </c>
      <c r="F48" s="149" t="s">
        <v>44</v>
      </c>
      <c r="G48" s="114">
        <v>43182</v>
      </c>
      <c r="H48" s="115">
        <v>546</v>
      </c>
      <c r="I48" s="22">
        <v>0</v>
      </c>
      <c r="J48" s="170">
        <v>0</v>
      </c>
      <c r="K48" s="35">
        <v>105</v>
      </c>
      <c r="L48" s="170">
        <v>21228.9</v>
      </c>
      <c r="M48" s="35">
        <v>0</v>
      </c>
      <c r="N48" s="170">
        <v>0</v>
      </c>
      <c r="O48" s="156">
        <f t="shared" si="2"/>
        <v>105</v>
      </c>
      <c r="P48" s="170">
        <f t="shared" si="2"/>
        <v>21228.9</v>
      </c>
      <c r="Q48" s="61"/>
      <c r="R48" s="61"/>
    </row>
    <row r="49" spans="1:18" s="62" customFormat="1" ht="26.25" customHeight="1">
      <c r="A49" s="59"/>
      <c r="B49" s="60"/>
      <c r="C49" s="60"/>
      <c r="D49" s="79" t="s">
        <v>24</v>
      </c>
      <c r="E49" s="75">
        <v>2301400</v>
      </c>
      <c r="F49" s="149" t="s">
        <v>44</v>
      </c>
      <c r="G49" s="114">
        <v>43201</v>
      </c>
      <c r="H49" s="115">
        <v>659</v>
      </c>
      <c r="I49" s="22">
        <v>0</v>
      </c>
      <c r="J49" s="170">
        <v>0</v>
      </c>
      <c r="K49" s="35">
        <v>80</v>
      </c>
      <c r="L49" s="170">
        <v>16174.4</v>
      </c>
      <c r="M49" s="35">
        <v>0</v>
      </c>
      <c r="N49" s="170">
        <v>0</v>
      </c>
      <c r="O49" s="156">
        <f t="shared" si="2"/>
        <v>80</v>
      </c>
      <c r="P49" s="170">
        <f t="shared" si="2"/>
        <v>16174.4</v>
      </c>
      <c r="Q49" s="61"/>
      <c r="R49" s="61"/>
    </row>
    <row r="50" spans="1:18" s="62" customFormat="1" ht="26.25" customHeight="1">
      <c r="A50" s="59"/>
      <c r="B50" s="60"/>
      <c r="C50" s="60"/>
      <c r="D50" s="79" t="s">
        <v>24</v>
      </c>
      <c r="E50" s="75">
        <v>2301400</v>
      </c>
      <c r="F50" s="149" t="s">
        <v>44</v>
      </c>
      <c r="G50" s="114">
        <v>43222</v>
      </c>
      <c r="H50" s="115">
        <v>834</v>
      </c>
      <c r="I50" s="35">
        <v>0</v>
      </c>
      <c r="J50" s="170">
        <v>0</v>
      </c>
      <c r="K50" s="35">
        <v>95</v>
      </c>
      <c r="L50" s="170">
        <v>19207.099999999999</v>
      </c>
      <c r="M50" s="35">
        <v>0</v>
      </c>
      <c r="N50" s="170">
        <v>0</v>
      </c>
      <c r="O50" s="156">
        <f t="shared" si="2"/>
        <v>95</v>
      </c>
      <c r="P50" s="170">
        <f t="shared" si="2"/>
        <v>19207.099999999999</v>
      </c>
      <c r="Q50" s="61"/>
      <c r="R50" s="61"/>
    </row>
    <row r="51" spans="1:18" s="134" customFormat="1" ht="27" customHeight="1">
      <c r="A51" s="131"/>
      <c r="B51" s="132"/>
      <c r="C51" s="60"/>
      <c r="D51" s="79" t="s">
        <v>24</v>
      </c>
      <c r="E51" s="75">
        <v>2301400</v>
      </c>
      <c r="F51" s="53" t="s">
        <v>52</v>
      </c>
      <c r="G51" s="114">
        <v>43087</v>
      </c>
      <c r="H51" s="115">
        <v>1625</v>
      </c>
      <c r="I51" s="22">
        <v>0</v>
      </c>
      <c r="J51" s="170">
        <v>0</v>
      </c>
      <c r="K51" s="35">
        <v>5</v>
      </c>
      <c r="L51" s="170">
        <v>1010.9</v>
      </c>
      <c r="M51" s="156">
        <v>5</v>
      </c>
      <c r="N51" s="172">
        <v>1010.9</v>
      </c>
      <c r="O51" s="156">
        <f t="shared" si="1"/>
        <v>0</v>
      </c>
      <c r="P51" s="172">
        <f t="shared" si="1"/>
        <v>0</v>
      </c>
      <c r="Q51" s="133"/>
      <c r="R51" s="133"/>
    </row>
    <row r="52" spans="1:18" s="134" customFormat="1" ht="27" customHeight="1">
      <c r="A52" s="131"/>
      <c r="B52" s="132"/>
      <c r="C52" s="60"/>
      <c r="D52" s="79" t="s">
        <v>24</v>
      </c>
      <c r="E52" s="75">
        <v>2301400</v>
      </c>
      <c r="F52" s="53" t="s">
        <v>52</v>
      </c>
      <c r="G52" s="114">
        <v>43082</v>
      </c>
      <c r="H52" s="115">
        <v>1583</v>
      </c>
      <c r="I52" s="22">
        <v>0</v>
      </c>
      <c r="J52" s="170">
        <v>0</v>
      </c>
      <c r="K52" s="35">
        <v>490</v>
      </c>
      <c r="L52" s="170">
        <v>99068.2</v>
      </c>
      <c r="M52" s="156">
        <f>135</f>
        <v>135</v>
      </c>
      <c r="N52" s="172">
        <f>27294.3</f>
        <v>27294.3</v>
      </c>
      <c r="O52" s="156">
        <f t="shared" si="1"/>
        <v>355</v>
      </c>
      <c r="P52" s="172">
        <f t="shared" si="1"/>
        <v>71773.899999999994</v>
      </c>
      <c r="Q52" s="133"/>
      <c r="R52" s="133"/>
    </row>
    <row r="53" spans="1:18" s="139" customFormat="1" ht="27" customHeight="1">
      <c r="A53" s="136"/>
      <c r="B53" s="137"/>
      <c r="C53" s="60"/>
      <c r="D53" s="79" t="s">
        <v>24</v>
      </c>
      <c r="E53" s="75">
        <v>2301400</v>
      </c>
      <c r="F53" s="53" t="s">
        <v>52</v>
      </c>
      <c r="G53" s="114">
        <v>43096</v>
      </c>
      <c r="H53" s="115">
        <v>1745</v>
      </c>
      <c r="I53" s="22">
        <v>0</v>
      </c>
      <c r="J53" s="170">
        <v>0</v>
      </c>
      <c r="K53" s="35">
        <v>195</v>
      </c>
      <c r="L53" s="170">
        <v>39425.1</v>
      </c>
      <c r="M53" s="35">
        <v>0</v>
      </c>
      <c r="N53" s="170">
        <v>0</v>
      </c>
      <c r="O53" s="156">
        <f t="shared" si="1"/>
        <v>195</v>
      </c>
      <c r="P53" s="170">
        <f t="shared" si="1"/>
        <v>39425.1</v>
      </c>
      <c r="Q53" s="138"/>
      <c r="R53" s="138"/>
    </row>
    <row r="54" spans="1:18" s="62" customFormat="1" ht="26.25" customHeight="1">
      <c r="A54" s="59"/>
      <c r="B54" s="60"/>
      <c r="C54" s="60"/>
      <c r="D54" s="79" t="s">
        <v>24</v>
      </c>
      <c r="E54" s="75">
        <v>2301400</v>
      </c>
      <c r="F54" s="53" t="s">
        <v>65</v>
      </c>
      <c r="G54" s="114">
        <v>43164</v>
      </c>
      <c r="H54" s="115">
        <v>426</v>
      </c>
      <c r="I54" s="22">
        <v>0</v>
      </c>
      <c r="J54" s="170">
        <v>0</v>
      </c>
      <c r="K54" s="35">
        <v>170</v>
      </c>
      <c r="L54" s="170">
        <v>34370.6</v>
      </c>
      <c r="M54" s="35">
        <v>0</v>
      </c>
      <c r="N54" s="170">
        <v>0</v>
      </c>
      <c r="O54" s="156">
        <f t="shared" si="1"/>
        <v>170</v>
      </c>
      <c r="P54" s="170">
        <f t="shared" si="1"/>
        <v>34370.6</v>
      </c>
      <c r="Q54" s="61"/>
      <c r="R54" s="61"/>
    </row>
    <row r="55" spans="1:18" s="62" customFormat="1" ht="26.25" customHeight="1">
      <c r="A55" s="59"/>
      <c r="B55" s="60"/>
      <c r="C55" s="60"/>
      <c r="D55" s="79" t="s">
        <v>24</v>
      </c>
      <c r="E55" s="75">
        <v>2301400</v>
      </c>
      <c r="F55" s="53" t="s">
        <v>65</v>
      </c>
      <c r="G55" s="114">
        <v>43143</v>
      </c>
      <c r="H55" s="115">
        <v>234</v>
      </c>
      <c r="I55" s="22">
        <v>0</v>
      </c>
      <c r="J55" s="170">
        <v>0</v>
      </c>
      <c r="K55" s="35">
        <v>320</v>
      </c>
      <c r="L55" s="170">
        <v>64697.599999999999</v>
      </c>
      <c r="M55" s="35">
        <v>0</v>
      </c>
      <c r="N55" s="170">
        <v>0</v>
      </c>
      <c r="O55" s="156">
        <f t="shared" si="1"/>
        <v>320</v>
      </c>
      <c r="P55" s="170">
        <f t="shared" si="1"/>
        <v>64697.599999999999</v>
      </c>
      <c r="Q55" s="61"/>
      <c r="R55" s="61"/>
    </row>
    <row r="56" spans="1:18" s="62" customFormat="1" ht="26.25" customHeight="1">
      <c r="A56" s="59"/>
      <c r="B56" s="60"/>
      <c r="C56" s="60"/>
      <c r="D56" s="79" t="s">
        <v>24</v>
      </c>
      <c r="E56" s="75">
        <v>2301400</v>
      </c>
      <c r="F56" s="53" t="s">
        <v>65</v>
      </c>
      <c r="G56" s="114">
        <v>43143</v>
      </c>
      <c r="H56" s="115">
        <v>234</v>
      </c>
      <c r="I56" s="22">
        <v>0</v>
      </c>
      <c r="J56" s="170">
        <v>0</v>
      </c>
      <c r="K56" s="35">
        <v>15</v>
      </c>
      <c r="L56" s="170">
        <v>3032.7</v>
      </c>
      <c r="M56" s="35">
        <v>0</v>
      </c>
      <c r="N56" s="170">
        <v>0</v>
      </c>
      <c r="O56" s="156">
        <f t="shared" si="1"/>
        <v>15</v>
      </c>
      <c r="P56" s="170">
        <f t="shared" si="1"/>
        <v>3032.7</v>
      </c>
      <c r="Q56" s="61"/>
      <c r="R56" s="61"/>
    </row>
    <row r="57" spans="1:18" s="62" customFormat="1" ht="27" customHeight="1">
      <c r="A57" s="59"/>
      <c r="B57" s="60"/>
      <c r="C57" s="60"/>
      <c r="D57" s="79" t="s">
        <v>24</v>
      </c>
      <c r="E57" s="75">
        <v>2301400</v>
      </c>
      <c r="F57" s="53" t="s">
        <v>65</v>
      </c>
      <c r="G57" s="114">
        <v>43159</v>
      </c>
      <c r="H57" s="115">
        <v>356</v>
      </c>
      <c r="I57" s="22">
        <v>0</v>
      </c>
      <c r="J57" s="170">
        <v>0</v>
      </c>
      <c r="K57" s="35">
        <v>170</v>
      </c>
      <c r="L57" s="170">
        <v>34370.6</v>
      </c>
      <c r="M57" s="35">
        <v>0</v>
      </c>
      <c r="N57" s="170">
        <v>0</v>
      </c>
      <c r="O57" s="156">
        <f t="shared" si="1"/>
        <v>170</v>
      </c>
      <c r="P57" s="170">
        <f t="shared" si="1"/>
        <v>34370.6</v>
      </c>
      <c r="Q57" s="61"/>
      <c r="R57" s="61"/>
    </row>
    <row r="58" spans="1:18" s="62" customFormat="1" ht="27" customHeight="1">
      <c r="A58" s="59"/>
      <c r="B58" s="60"/>
      <c r="C58" s="60"/>
      <c r="D58" s="79" t="s">
        <v>24</v>
      </c>
      <c r="E58" s="75">
        <v>2301400</v>
      </c>
      <c r="F58" s="53" t="s">
        <v>65</v>
      </c>
      <c r="G58" s="114">
        <v>43145</v>
      </c>
      <c r="H58" s="115">
        <v>260</v>
      </c>
      <c r="I58" s="22">
        <v>0</v>
      </c>
      <c r="J58" s="170">
        <v>0</v>
      </c>
      <c r="K58" s="35">
        <v>665</v>
      </c>
      <c r="L58" s="170">
        <v>134449.70000000001</v>
      </c>
      <c r="M58" s="35">
        <v>0</v>
      </c>
      <c r="N58" s="170">
        <v>0</v>
      </c>
      <c r="O58" s="156">
        <f t="shared" si="1"/>
        <v>665</v>
      </c>
      <c r="P58" s="170">
        <f t="shared" si="1"/>
        <v>134449.70000000001</v>
      </c>
      <c r="Q58" s="61"/>
      <c r="R58" s="61"/>
    </row>
    <row r="59" spans="1:18" s="62" customFormat="1" ht="26.25" customHeight="1">
      <c r="A59" s="59"/>
      <c r="B59" s="60"/>
      <c r="C59" s="60"/>
      <c r="D59" s="79" t="s">
        <v>24</v>
      </c>
      <c r="E59" s="75">
        <v>2301400</v>
      </c>
      <c r="F59" s="53" t="s">
        <v>65</v>
      </c>
      <c r="G59" s="114">
        <v>43116</v>
      </c>
      <c r="H59" s="115">
        <v>68</v>
      </c>
      <c r="I59" s="22">
        <v>0</v>
      </c>
      <c r="J59" s="170">
        <v>0</v>
      </c>
      <c r="K59" s="35">
        <v>335</v>
      </c>
      <c r="L59" s="170">
        <v>67730.3</v>
      </c>
      <c r="M59" s="35">
        <v>0</v>
      </c>
      <c r="N59" s="170">
        <v>0</v>
      </c>
      <c r="O59" s="156">
        <f t="shared" si="1"/>
        <v>335</v>
      </c>
      <c r="P59" s="170">
        <f t="shared" si="1"/>
        <v>67730.3</v>
      </c>
      <c r="Q59" s="61"/>
      <c r="R59" s="61"/>
    </row>
    <row r="60" spans="1:18" s="62" customFormat="1" ht="26.25" customHeight="1">
      <c r="A60" s="59"/>
      <c r="B60" s="60"/>
      <c r="C60" s="60"/>
      <c r="D60" s="79" t="s">
        <v>24</v>
      </c>
      <c r="E60" s="75">
        <v>2301400</v>
      </c>
      <c r="F60" s="53" t="s">
        <v>65</v>
      </c>
      <c r="G60" s="114">
        <v>42761</v>
      </c>
      <c r="H60" s="115">
        <v>135</v>
      </c>
      <c r="I60" s="22">
        <v>0</v>
      </c>
      <c r="J60" s="170">
        <v>0</v>
      </c>
      <c r="K60" s="35">
        <v>155</v>
      </c>
      <c r="L60" s="170">
        <v>31337.9</v>
      </c>
      <c r="M60" s="35">
        <v>0</v>
      </c>
      <c r="N60" s="170">
        <v>0</v>
      </c>
      <c r="O60" s="156">
        <f t="shared" si="1"/>
        <v>155</v>
      </c>
      <c r="P60" s="170">
        <f t="shared" si="1"/>
        <v>31337.9</v>
      </c>
      <c r="Q60" s="61"/>
      <c r="R60" s="61"/>
    </row>
    <row r="61" spans="1:18" s="62" customFormat="1" ht="26.25" customHeight="1">
      <c r="A61" s="59"/>
      <c r="B61" s="60"/>
      <c r="C61" s="60"/>
      <c r="D61" s="79" t="s">
        <v>24</v>
      </c>
      <c r="E61" s="75">
        <v>2301400</v>
      </c>
      <c r="F61" s="53" t="s">
        <v>65</v>
      </c>
      <c r="G61" s="114">
        <v>43119</v>
      </c>
      <c r="H61" s="115">
        <v>108</v>
      </c>
      <c r="I61" s="22">
        <v>0</v>
      </c>
      <c r="J61" s="170">
        <v>0</v>
      </c>
      <c r="K61" s="35">
        <v>340</v>
      </c>
      <c r="L61" s="170">
        <v>68741.2</v>
      </c>
      <c r="M61" s="35">
        <v>0</v>
      </c>
      <c r="N61" s="170">
        <v>0</v>
      </c>
      <c r="O61" s="156">
        <f t="shared" si="1"/>
        <v>340</v>
      </c>
      <c r="P61" s="170">
        <f t="shared" si="1"/>
        <v>68741.2</v>
      </c>
      <c r="Q61" s="61"/>
      <c r="R61" s="61"/>
    </row>
    <row r="62" spans="1:18" s="62" customFormat="1" ht="26.25" customHeight="1">
      <c r="A62" s="59"/>
      <c r="B62" s="60"/>
      <c r="C62" s="60"/>
      <c r="D62" s="79" t="s">
        <v>24</v>
      </c>
      <c r="E62" s="75">
        <v>2301400</v>
      </c>
      <c r="F62" s="53" t="s">
        <v>65</v>
      </c>
      <c r="G62" s="114">
        <v>43201</v>
      </c>
      <c r="H62" s="115">
        <v>659</v>
      </c>
      <c r="I62" s="22">
        <v>0</v>
      </c>
      <c r="J62" s="170">
        <v>0</v>
      </c>
      <c r="K62" s="35">
        <v>245</v>
      </c>
      <c r="L62" s="170">
        <v>49534.1</v>
      </c>
      <c r="M62" s="35">
        <v>0</v>
      </c>
      <c r="N62" s="170">
        <v>0</v>
      </c>
      <c r="O62" s="156">
        <f t="shared" si="1"/>
        <v>245</v>
      </c>
      <c r="P62" s="170">
        <f t="shared" si="1"/>
        <v>49534.1</v>
      </c>
      <c r="Q62" s="61"/>
      <c r="R62" s="61"/>
    </row>
    <row r="63" spans="1:18" s="62" customFormat="1" ht="26.25" customHeight="1">
      <c r="A63" s="59"/>
      <c r="B63" s="60"/>
      <c r="C63" s="60"/>
      <c r="D63" s="79" t="s">
        <v>24</v>
      </c>
      <c r="E63" s="75">
        <v>2301400</v>
      </c>
      <c r="F63" s="53" t="s">
        <v>65</v>
      </c>
      <c r="G63" s="114">
        <v>43222</v>
      </c>
      <c r="H63" s="115">
        <v>834</v>
      </c>
      <c r="I63" s="22">
        <v>0</v>
      </c>
      <c r="J63" s="170">
        <v>0</v>
      </c>
      <c r="K63" s="35">
        <v>555</v>
      </c>
      <c r="L63" s="170">
        <v>112209.9</v>
      </c>
      <c r="M63" s="35">
        <v>0</v>
      </c>
      <c r="N63" s="170">
        <v>0</v>
      </c>
      <c r="O63" s="156">
        <f t="shared" si="1"/>
        <v>555</v>
      </c>
      <c r="P63" s="170">
        <f t="shared" si="1"/>
        <v>112209.9</v>
      </c>
      <c r="Q63" s="61"/>
      <c r="R63" s="61"/>
    </row>
    <row r="64" spans="1:18" s="62" customFormat="1" ht="26.25" customHeight="1">
      <c r="A64" s="59"/>
      <c r="B64" s="60"/>
      <c r="C64" s="60"/>
      <c r="D64" s="79" t="s">
        <v>24</v>
      </c>
      <c r="E64" s="75">
        <v>2301400</v>
      </c>
      <c r="F64" s="51" t="s">
        <v>68</v>
      </c>
      <c r="G64" s="114">
        <v>43052</v>
      </c>
      <c r="H64" s="115">
        <v>1405</v>
      </c>
      <c r="I64" s="22">
        <v>0</v>
      </c>
      <c r="J64" s="170">
        <v>0</v>
      </c>
      <c r="K64" s="35">
        <v>125</v>
      </c>
      <c r="L64" s="170">
        <v>26255</v>
      </c>
      <c r="M64" s="35">
        <f>63+62</f>
        <v>125</v>
      </c>
      <c r="N64" s="170">
        <v>26255</v>
      </c>
      <c r="O64" s="35">
        <f t="shared" si="1"/>
        <v>0</v>
      </c>
      <c r="P64" s="170">
        <f t="shared" si="1"/>
        <v>0</v>
      </c>
      <c r="Q64" s="61"/>
      <c r="R64" s="61"/>
    </row>
    <row r="65" spans="1:18" s="62" customFormat="1" ht="26.25" customHeight="1">
      <c r="A65" s="59"/>
      <c r="B65" s="60"/>
      <c r="C65" s="60"/>
      <c r="D65" s="79" t="s">
        <v>24</v>
      </c>
      <c r="E65" s="75">
        <v>2301400</v>
      </c>
      <c r="F65" s="162" t="s">
        <v>68</v>
      </c>
      <c r="G65" s="114">
        <v>43047</v>
      </c>
      <c r="H65" s="115">
        <v>1381</v>
      </c>
      <c r="I65" s="22">
        <v>0</v>
      </c>
      <c r="J65" s="170">
        <v>0</v>
      </c>
      <c r="K65" s="35">
        <v>80</v>
      </c>
      <c r="L65" s="170">
        <v>16803.2</v>
      </c>
      <c r="M65" s="156">
        <v>80</v>
      </c>
      <c r="N65" s="172">
        <v>16803.2</v>
      </c>
      <c r="O65" s="156">
        <f t="shared" si="1"/>
        <v>0</v>
      </c>
      <c r="P65" s="172">
        <f t="shared" si="1"/>
        <v>0</v>
      </c>
      <c r="Q65" s="61"/>
      <c r="R65" s="61"/>
    </row>
    <row r="66" spans="1:18" s="62" customFormat="1" ht="26.25" customHeight="1">
      <c r="A66" s="59"/>
      <c r="B66" s="60"/>
      <c r="C66" s="60"/>
      <c r="D66" s="79" t="s">
        <v>24</v>
      </c>
      <c r="E66" s="75">
        <v>2301400</v>
      </c>
      <c r="F66" s="162" t="s">
        <v>68</v>
      </c>
      <c r="G66" s="114">
        <v>43182</v>
      </c>
      <c r="H66" s="115">
        <v>546</v>
      </c>
      <c r="I66" s="22">
        <v>0</v>
      </c>
      <c r="J66" s="170">
        <v>0</v>
      </c>
      <c r="K66" s="35">
        <v>10</v>
      </c>
      <c r="L66" s="170">
        <v>2038.7</v>
      </c>
      <c r="M66" s="156">
        <v>10</v>
      </c>
      <c r="N66" s="172">
        <v>2038.7</v>
      </c>
      <c r="O66" s="156">
        <f t="shared" si="1"/>
        <v>0</v>
      </c>
      <c r="P66" s="172">
        <f t="shared" si="1"/>
        <v>0</v>
      </c>
      <c r="Q66" s="61"/>
      <c r="R66" s="61"/>
    </row>
    <row r="67" spans="1:18" s="62" customFormat="1" ht="26.25" customHeight="1">
      <c r="A67" s="59"/>
      <c r="B67" s="60"/>
      <c r="C67" s="60"/>
      <c r="D67" s="79" t="s">
        <v>24</v>
      </c>
      <c r="E67" s="75">
        <v>2301400</v>
      </c>
      <c r="F67" s="162" t="s">
        <v>68</v>
      </c>
      <c r="G67" s="114">
        <v>43222</v>
      </c>
      <c r="H67" s="115">
        <v>834</v>
      </c>
      <c r="I67" s="22">
        <v>0</v>
      </c>
      <c r="J67" s="170">
        <v>0</v>
      </c>
      <c r="K67" s="35">
        <v>10</v>
      </c>
      <c r="L67" s="170">
        <v>2100.4</v>
      </c>
      <c r="M67" s="35">
        <v>0</v>
      </c>
      <c r="N67" s="170">
        <v>0</v>
      </c>
      <c r="O67" s="156">
        <f t="shared" si="1"/>
        <v>10</v>
      </c>
      <c r="P67" s="172">
        <f t="shared" si="1"/>
        <v>2100.4</v>
      </c>
      <c r="Q67" s="61"/>
      <c r="R67" s="61"/>
    </row>
    <row r="68" spans="1:18" s="134" customFormat="1" ht="25.5" customHeight="1">
      <c r="A68" s="131"/>
      <c r="B68" s="132"/>
      <c r="C68" s="60"/>
      <c r="D68" s="79" t="s">
        <v>24</v>
      </c>
      <c r="E68" s="75">
        <v>2301400</v>
      </c>
      <c r="F68" s="140" t="s">
        <v>55</v>
      </c>
      <c r="G68" s="114">
        <v>43082</v>
      </c>
      <c r="H68" s="115">
        <v>1583</v>
      </c>
      <c r="I68" s="22">
        <v>0</v>
      </c>
      <c r="J68" s="170">
        <v>0</v>
      </c>
      <c r="K68" s="35">
        <v>8</v>
      </c>
      <c r="L68" s="170">
        <v>2388</v>
      </c>
      <c r="M68" s="35">
        <v>0</v>
      </c>
      <c r="N68" s="170">
        <v>0</v>
      </c>
      <c r="O68" s="156">
        <f t="shared" si="1"/>
        <v>8</v>
      </c>
      <c r="P68" s="170">
        <f t="shared" si="1"/>
        <v>2388</v>
      </c>
      <c r="Q68" s="133"/>
      <c r="R68" s="133"/>
    </row>
    <row r="69" spans="1:18" s="62" customFormat="1" ht="25.5" customHeight="1">
      <c r="A69" s="59"/>
      <c r="B69" s="60"/>
      <c r="C69" s="60"/>
      <c r="D69" s="79" t="s">
        <v>24</v>
      </c>
      <c r="E69" s="75">
        <v>2301400</v>
      </c>
      <c r="F69" s="140" t="s">
        <v>55</v>
      </c>
      <c r="G69" s="114">
        <v>43164</v>
      </c>
      <c r="H69" s="115">
        <v>427</v>
      </c>
      <c r="I69" s="22">
        <v>0</v>
      </c>
      <c r="J69" s="170">
        <v>0</v>
      </c>
      <c r="K69" s="35">
        <v>34</v>
      </c>
      <c r="L69" s="170">
        <v>10149</v>
      </c>
      <c r="M69" s="35">
        <v>0</v>
      </c>
      <c r="N69" s="170">
        <v>0</v>
      </c>
      <c r="O69" s="156">
        <f t="shared" si="1"/>
        <v>34</v>
      </c>
      <c r="P69" s="170">
        <f t="shared" si="1"/>
        <v>10149</v>
      </c>
      <c r="Q69" s="61"/>
      <c r="R69" s="61"/>
    </row>
    <row r="70" spans="1:18" s="62" customFormat="1" ht="25.5" customHeight="1">
      <c r="A70" s="59"/>
      <c r="B70" s="60"/>
      <c r="C70" s="60"/>
      <c r="D70" s="79" t="s">
        <v>24</v>
      </c>
      <c r="E70" s="75">
        <v>2301400</v>
      </c>
      <c r="F70" s="140" t="s">
        <v>55</v>
      </c>
      <c r="G70" s="114">
        <v>43193</v>
      </c>
      <c r="H70" s="115">
        <v>613</v>
      </c>
      <c r="I70" s="22">
        <v>0</v>
      </c>
      <c r="J70" s="170">
        <v>0</v>
      </c>
      <c r="K70" s="35">
        <v>270</v>
      </c>
      <c r="L70" s="170">
        <v>80595</v>
      </c>
      <c r="M70" s="35">
        <v>0</v>
      </c>
      <c r="N70" s="170">
        <v>0</v>
      </c>
      <c r="O70" s="156">
        <f t="shared" si="1"/>
        <v>270</v>
      </c>
      <c r="P70" s="170">
        <f t="shared" si="1"/>
        <v>80595</v>
      </c>
      <c r="Q70" s="61"/>
      <c r="R70" s="61"/>
    </row>
    <row r="71" spans="1:18" s="62" customFormat="1" ht="25.5" customHeight="1">
      <c r="A71" s="59"/>
      <c r="B71" s="60"/>
      <c r="C71" s="60"/>
      <c r="D71" s="79" t="s">
        <v>24</v>
      </c>
      <c r="E71" s="75">
        <v>2301400</v>
      </c>
      <c r="F71" s="140" t="s">
        <v>55</v>
      </c>
      <c r="G71" s="114">
        <v>43193</v>
      </c>
      <c r="H71" s="115">
        <v>612</v>
      </c>
      <c r="I71" s="22">
        <v>0</v>
      </c>
      <c r="J71" s="170">
        <v>0</v>
      </c>
      <c r="K71" s="35">
        <v>40</v>
      </c>
      <c r="L71" s="170">
        <v>11940</v>
      </c>
      <c r="M71" s="35">
        <v>0</v>
      </c>
      <c r="N71" s="170">
        <v>0</v>
      </c>
      <c r="O71" s="156">
        <f t="shared" si="1"/>
        <v>40</v>
      </c>
      <c r="P71" s="170">
        <f t="shared" si="1"/>
        <v>11940</v>
      </c>
      <c r="Q71" s="61"/>
      <c r="R71" s="61"/>
    </row>
    <row r="72" spans="1:18" s="62" customFormat="1" ht="25.5" customHeight="1">
      <c r="A72" s="59"/>
      <c r="B72" s="60"/>
      <c r="C72" s="60"/>
      <c r="D72" s="79" t="s">
        <v>24</v>
      </c>
      <c r="E72" s="75">
        <v>2301400</v>
      </c>
      <c r="F72" s="173" t="s">
        <v>64</v>
      </c>
      <c r="G72" s="114">
        <v>43164</v>
      </c>
      <c r="H72" s="115">
        <v>427</v>
      </c>
      <c r="I72" s="22">
        <v>0</v>
      </c>
      <c r="J72" s="170">
        <v>0</v>
      </c>
      <c r="K72" s="35">
        <v>56</v>
      </c>
      <c r="L72" s="170">
        <v>16794.400000000001</v>
      </c>
      <c r="M72" s="35">
        <v>0</v>
      </c>
      <c r="N72" s="170">
        <v>0</v>
      </c>
      <c r="O72" s="156">
        <f t="shared" si="1"/>
        <v>56</v>
      </c>
      <c r="P72" s="170">
        <f t="shared" si="1"/>
        <v>16794.400000000001</v>
      </c>
      <c r="Q72" s="61"/>
      <c r="R72" s="61"/>
    </row>
    <row r="73" spans="1:18" s="62" customFormat="1" ht="25.5" customHeight="1">
      <c r="A73" s="59"/>
      <c r="B73" s="60"/>
      <c r="C73" s="60"/>
      <c r="D73" s="79" t="s">
        <v>24</v>
      </c>
      <c r="E73" s="75">
        <v>2301400</v>
      </c>
      <c r="F73" s="173" t="s">
        <v>64</v>
      </c>
      <c r="G73" s="114">
        <v>43193</v>
      </c>
      <c r="H73" s="115">
        <v>605</v>
      </c>
      <c r="I73" s="22">
        <v>0</v>
      </c>
      <c r="J73" s="170">
        <v>0</v>
      </c>
      <c r="K73" s="35">
        <v>510</v>
      </c>
      <c r="L73" s="170">
        <v>152949</v>
      </c>
      <c r="M73" s="35">
        <v>0</v>
      </c>
      <c r="N73" s="170">
        <v>0</v>
      </c>
      <c r="O73" s="156">
        <f t="shared" si="1"/>
        <v>510</v>
      </c>
      <c r="P73" s="170">
        <f t="shared" si="1"/>
        <v>152949</v>
      </c>
      <c r="Q73" s="61"/>
      <c r="R73" s="61"/>
    </row>
    <row r="74" spans="1:18" s="62" customFormat="1" ht="27.75" customHeight="1">
      <c r="A74" s="59"/>
      <c r="B74" s="60"/>
      <c r="C74" s="60"/>
      <c r="D74" s="79" t="s">
        <v>24</v>
      </c>
      <c r="E74" s="75">
        <v>2301400</v>
      </c>
      <c r="F74" s="51" t="s">
        <v>57</v>
      </c>
      <c r="G74" s="114">
        <v>43096</v>
      </c>
      <c r="H74" s="115">
        <v>1745</v>
      </c>
      <c r="I74" s="22">
        <v>0</v>
      </c>
      <c r="J74" s="170">
        <v>0</v>
      </c>
      <c r="K74" s="35">
        <v>6637</v>
      </c>
      <c r="L74" s="170">
        <v>102541.65</v>
      </c>
      <c r="M74" s="35">
        <v>0</v>
      </c>
      <c r="N74" s="170">
        <v>0</v>
      </c>
      <c r="O74" s="156">
        <f t="shared" si="1"/>
        <v>6637</v>
      </c>
      <c r="P74" s="170">
        <f t="shared" si="1"/>
        <v>102541.65</v>
      </c>
      <c r="Q74" s="61"/>
      <c r="R74" s="61"/>
    </row>
    <row r="75" spans="1:18" s="62" customFormat="1" ht="27.75" customHeight="1">
      <c r="A75" s="59"/>
      <c r="B75" s="60"/>
      <c r="C75" s="60"/>
      <c r="D75" s="79" t="s">
        <v>24</v>
      </c>
      <c r="E75" s="75">
        <v>2301400</v>
      </c>
      <c r="F75" s="51" t="s">
        <v>57</v>
      </c>
      <c r="G75" s="114">
        <v>43222</v>
      </c>
      <c r="H75" s="115">
        <v>834</v>
      </c>
      <c r="I75" s="22">
        <v>0</v>
      </c>
      <c r="J75" s="170">
        <v>0</v>
      </c>
      <c r="K75" s="35">
        <v>144</v>
      </c>
      <c r="L75" s="170">
        <v>2142.7199999999998</v>
      </c>
      <c r="M75" s="35">
        <v>0</v>
      </c>
      <c r="N75" s="170">
        <v>0</v>
      </c>
      <c r="O75" s="156">
        <f t="shared" si="1"/>
        <v>144</v>
      </c>
      <c r="P75" s="170">
        <f t="shared" si="1"/>
        <v>2142.7199999999998</v>
      </c>
      <c r="Q75" s="61"/>
      <c r="R75" s="61"/>
    </row>
    <row r="76" spans="1:18" s="62" customFormat="1" ht="26.25" customHeight="1">
      <c r="A76" s="59"/>
      <c r="B76" s="60"/>
      <c r="C76" s="60"/>
      <c r="D76" s="79" t="s">
        <v>24</v>
      </c>
      <c r="E76" s="75">
        <v>2301400</v>
      </c>
      <c r="F76" s="178" t="s">
        <v>58</v>
      </c>
      <c r="G76" s="114">
        <v>43096</v>
      </c>
      <c r="H76" s="115">
        <v>1745</v>
      </c>
      <c r="I76" s="22">
        <v>0</v>
      </c>
      <c r="J76" s="170">
        <v>0</v>
      </c>
      <c r="K76" s="35">
        <v>4</v>
      </c>
      <c r="L76" s="170">
        <v>9062.24</v>
      </c>
      <c r="M76" s="35">
        <v>0</v>
      </c>
      <c r="N76" s="170">
        <v>0</v>
      </c>
      <c r="O76" s="156">
        <f t="shared" si="1"/>
        <v>4</v>
      </c>
      <c r="P76" s="170">
        <f t="shared" si="1"/>
        <v>9062.24</v>
      </c>
      <c r="Q76" s="61"/>
      <c r="R76" s="61"/>
    </row>
    <row r="77" spans="1:18" s="62" customFormat="1" ht="26.25" customHeight="1">
      <c r="A77" s="59"/>
      <c r="B77" s="60"/>
      <c r="C77" s="60"/>
      <c r="D77" s="79" t="s">
        <v>24</v>
      </c>
      <c r="E77" s="75">
        <v>2301400</v>
      </c>
      <c r="F77" s="178" t="s">
        <v>58</v>
      </c>
      <c r="G77" s="114">
        <v>43222</v>
      </c>
      <c r="H77" s="115">
        <v>834</v>
      </c>
      <c r="I77" s="22">
        <v>0</v>
      </c>
      <c r="J77" s="170">
        <v>0</v>
      </c>
      <c r="K77" s="35">
        <v>2</v>
      </c>
      <c r="L77" s="170">
        <v>4531.12</v>
      </c>
      <c r="M77" s="35">
        <v>0</v>
      </c>
      <c r="N77" s="170">
        <v>0</v>
      </c>
      <c r="O77" s="156">
        <f t="shared" si="1"/>
        <v>2</v>
      </c>
      <c r="P77" s="170">
        <f t="shared" si="1"/>
        <v>4531.12</v>
      </c>
      <c r="Q77" s="61"/>
      <c r="R77" s="61"/>
    </row>
    <row r="78" spans="1:18" s="62" customFormat="1" ht="26.25" customHeight="1">
      <c r="A78" s="59"/>
      <c r="B78" s="60"/>
      <c r="C78" s="60"/>
      <c r="D78" s="79" t="s">
        <v>24</v>
      </c>
      <c r="E78" s="75">
        <v>2301400</v>
      </c>
      <c r="F78" s="82" t="s">
        <v>61</v>
      </c>
      <c r="G78" s="114">
        <v>42761</v>
      </c>
      <c r="H78" s="115">
        <v>135</v>
      </c>
      <c r="I78" s="22">
        <v>0</v>
      </c>
      <c r="J78" s="170">
        <v>0</v>
      </c>
      <c r="K78" s="35">
        <v>14</v>
      </c>
      <c r="L78" s="170">
        <v>774.48</v>
      </c>
      <c r="M78" s="35">
        <v>0</v>
      </c>
      <c r="N78" s="170">
        <v>0</v>
      </c>
      <c r="O78" s="156">
        <f t="shared" si="1"/>
        <v>14</v>
      </c>
      <c r="P78" s="170">
        <f t="shared" si="1"/>
        <v>774.48</v>
      </c>
      <c r="Q78" s="61"/>
      <c r="R78" s="61"/>
    </row>
    <row r="79" spans="1:18" s="62" customFormat="1" ht="26.25" customHeight="1">
      <c r="A79" s="59"/>
      <c r="B79" s="60"/>
      <c r="C79" s="60"/>
      <c r="D79" s="79" t="s">
        <v>24</v>
      </c>
      <c r="E79" s="75">
        <v>2301400</v>
      </c>
      <c r="F79" s="82" t="s">
        <v>61</v>
      </c>
      <c r="G79" s="114">
        <v>43222</v>
      </c>
      <c r="H79" s="115">
        <v>834</v>
      </c>
      <c r="I79" s="22">
        <v>0</v>
      </c>
      <c r="J79" s="170">
        <v>0</v>
      </c>
      <c r="K79" s="35">
        <v>26</v>
      </c>
      <c r="L79" s="170">
        <v>1438.32</v>
      </c>
      <c r="M79" s="35">
        <v>0</v>
      </c>
      <c r="N79" s="170">
        <v>0</v>
      </c>
      <c r="O79" s="156">
        <f t="shared" si="1"/>
        <v>26</v>
      </c>
      <c r="P79" s="170">
        <f t="shared" si="1"/>
        <v>1438.32</v>
      </c>
      <c r="Q79" s="61"/>
      <c r="R79" s="61"/>
    </row>
    <row r="80" spans="1:18" s="62" customFormat="1" ht="26.25" customHeight="1">
      <c r="A80" s="59"/>
      <c r="B80" s="60"/>
      <c r="C80" s="60"/>
      <c r="D80" s="79" t="s">
        <v>24</v>
      </c>
      <c r="E80" s="75">
        <v>2301400</v>
      </c>
      <c r="F80" s="179" t="s">
        <v>62</v>
      </c>
      <c r="G80" s="114">
        <v>42761</v>
      </c>
      <c r="H80" s="115">
        <v>135</v>
      </c>
      <c r="I80" s="22">
        <v>0</v>
      </c>
      <c r="J80" s="170">
        <v>0</v>
      </c>
      <c r="K80" s="35">
        <v>6</v>
      </c>
      <c r="L80" s="170">
        <v>4549.08</v>
      </c>
      <c r="M80" s="35">
        <v>0</v>
      </c>
      <c r="N80" s="170">
        <v>0</v>
      </c>
      <c r="O80" s="156">
        <f t="shared" si="1"/>
        <v>6</v>
      </c>
      <c r="P80" s="170">
        <f t="shared" si="1"/>
        <v>4549.08</v>
      </c>
      <c r="Q80" s="61"/>
      <c r="R80" s="61"/>
    </row>
    <row r="81" spans="1:18" s="62" customFormat="1" ht="26.25" customHeight="1">
      <c r="A81" s="59"/>
      <c r="B81" s="60"/>
      <c r="C81" s="60"/>
      <c r="D81" s="79" t="s">
        <v>24</v>
      </c>
      <c r="E81" s="75">
        <v>2301400</v>
      </c>
      <c r="F81" s="179" t="s">
        <v>62</v>
      </c>
      <c r="G81" s="114">
        <v>43222</v>
      </c>
      <c r="H81" s="115">
        <v>834</v>
      </c>
      <c r="I81" s="22">
        <v>0</v>
      </c>
      <c r="J81" s="170">
        <v>0</v>
      </c>
      <c r="K81" s="35">
        <v>10</v>
      </c>
      <c r="L81" s="170">
        <v>7581.8</v>
      </c>
      <c r="M81" s="35">
        <v>0</v>
      </c>
      <c r="N81" s="170">
        <v>0</v>
      </c>
      <c r="O81" s="156">
        <f t="shared" si="1"/>
        <v>10</v>
      </c>
      <c r="P81" s="170">
        <f t="shared" si="1"/>
        <v>7581.8</v>
      </c>
      <c r="Q81" s="61"/>
      <c r="R81" s="61"/>
    </row>
    <row r="82" spans="1:18" s="62" customFormat="1" ht="26.25" customHeight="1">
      <c r="A82" s="59"/>
      <c r="B82" s="60"/>
      <c r="C82" s="60"/>
      <c r="D82" s="79" t="s">
        <v>24</v>
      </c>
      <c r="E82" s="75">
        <v>2301400</v>
      </c>
      <c r="F82" s="135" t="s">
        <v>66</v>
      </c>
      <c r="G82" s="114">
        <v>43145</v>
      </c>
      <c r="H82" s="115">
        <v>260</v>
      </c>
      <c r="I82" s="22">
        <v>0</v>
      </c>
      <c r="J82" s="170">
        <v>0</v>
      </c>
      <c r="K82" s="35">
        <v>2</v>
      </c>
      <c r="L82" s="170">
        <v>4040.8</v>
      </c>
      <c r="M82" s="35">
        <v>0</v>
      </c>
      <c r="N82" s="170">
        <v>0</v>
      </c>
      <c r="O82" s="156">
        <f t="shared" si="1"/>
        <v>2</v>
      </c>
      <c r="P82" s="172">
        <f t="shared" si="1"/>
        <v>4040.8</v>
      </c>
      <c r="Q82" s="61"/>
      <c r="R82" s="61"/>
    </row>
    <row r="83" spans="1:18" s="10" customFormat="1" ht="21" customHeight="1">
      <c r="A83" s="20" t="s">
        <v>11</v>
      </c>
      <c r="B83" s="20"/>
      <c r="C83" s="20"/>
      <c r="D83" s="695" t="s">
        <v>34</v>
      </c>
      <c r="E83" s="696"/>
      <c r="F83" s="696"/>
      <c r="G83" s="696"/>
      <c r="H83" s="697"/>
      <c r="I83" s="176">
        <f>SUM(I19:I42)</f>
        <v>1342</v>
      </c>
      <c r="J83" s="171">
        <f>SUM(J19:J68)</f>
        <v>493758.06</v>
      </c>
      <c r="K83" s="176">
        <f t="shared" ref="K83:N83" si="3">SUM(K19:K82)</f>
        <v>12342</v>
      </c>
      <c r="L83" s="171">
        <f t="shared" si="3"/>
        <v>1372702.1300000001</v>
      </c>
      <c r="M83" s="48">
        <f t="shared" si="3"/>
        <v>1010</v>
      </c>
      <c r="N83" s="171">
        <f t="shared" si="3"/>
        <v>331865.65000000002</v>
      </c>
      <c r="O83" s="176">
        <f>SUM(O19:O82)</f>
        <v>12674</v>
      </c>
      <c r="P83" s="171">
        <f>SUM(P19:P82)</f>
        <v>1534594.5399999998</v>
      </c>
      <c r="Q83" s="26">
        <f>SUM(Q19:Q23)</f>
        <v>0</v>
      </c>
      <c r="R83" s="27"/>
    </row>
    <row r="84" spans="1:18">
      <c r="A84" s="19"/>
      <c r="B84" s="19"/>
      <c r="C84" s="19"/>
      <c r="I84" s="10"/>
      <c r="J84" s="10"/>
      <c r="K84" s="10"/>
      <c r="L84" s="10"/>
      <c r="M84" s="159"/>
      <c r="N84" s="159"/>
      <c r="O84" s="159"/>
      <c r="P84" s="159"/>
      <c r="Q84" s="10"/>
    </row>
    <row r="85" spans="1:18" ht="15.75">
      <c r="A85" s="28"/>
      <c r="B85" s="28"/>
      <c r="C85" s="28"/>
      <c r="D85" s="28"/>
      <c r="E85" s="28"/>
      <c r="F85" s="28"/>
      <c r="G85" s="108"/>
      <c r="H85" s="28"/>
      <c r="I85" s="11"/>
      <c r="J85" s="9"/>
      <c r="K85" s="11"/>
      <c r="L85" s="9"/>
      <c r="M85" s="9"/>
      <c r="N85" s="47"/>
      <c r="O85" s="47"/>
      <c r="P85" s="91"/>
    </row>
    <row r="86" spans="1:18" ht="18.75">
      <c r="A86" s="28"/>
      <c r="B86" s="28"/>
      <c r="C86" s="28"/>
      <c r="D86" s="28"/>
      <c r="E86" s="693" t="s">
        <v>25</v>
      </c>
      <c r="F86" s="693"/>
      <c r="G86" s="693"/>
      <c r="H86" s="693"/>
      <c r="I86" s="693"/>
      <c r="J86" s="693"/>
      <c r="K86" s="693"/>
      <c r="L86" s="693"/>
      <c r="M86" s="693"/>
      <c r="N86" s="693"/>
      <c r="O86" s="47"/>
      <c r="P86" s="12"/>
    </row>
    <row r="87" spans="1:18" ht="15" customHeight="1">
      <c r="A87" s="43"/>
      <c r="B87" s="43"/>
      <c r="C87" s="43"/>
      <c r="D87" s="43"/>
      <c r="E87" s="180"/>
      <c r="F87" s="183"/>
      <c r="G87" s="109"/>
      <c r="H87" s="32"/>
      <c r="I87" s="38"/>
      <c r="J87" s="32"/>
      <c r="K87" s="38"/>
      <c r="L87" s="32"/>
      <c r="M87" s="32"/>
      <c r="N87" s="39"/>
      <c r="O87" s="47"/>
      <c r="P87" s="12"/>
    </row>
    <row r="88" spans="1:18" ht="18" customHeight="1">
      <c r="A88" s="44" t="s">
        <v>12</v>
      </c>
      <c r="B88" s="44"/>
      <c r="C88" s="44"/>
      <c r="D88" s="44"/>
      <c r="E88" s="34"/>
      <c r="F88" s="40"/>
      <c r="G88" s="110"/>
      <c r="H88" s="40"/>
      <c r="I88" s="40"/>
      <c r="J88" s="40"/>
      <c r="K88" s="40"/>
      <c r="L88" s="40"/>
      <c r="M88" s="40"/>
      <c r="N88" s="40"/>
      <c r="O88" s="160"/>
      <c r="P88" s="13"/>
    </row>
    <row r="89" spans="1:18" ht="18.75">
      <c r="A89" s="9"/>
      <c r="B89" s="9"/>
      <c r="C89" s="9"/>
      <c r="D89" s="9"/>
      <c r="E89" s="694" t="s">
        <v>20</v>
      </c>
      <c r="F89" s="694"/>
      <c r="G89" s="694"/>
      <c r="H89" s="694"/>
      <c r="I89" s="694"/>
      <c r="J89" s="694"/>
      <c r="K89" s="694"/>
      <c r="L89" s="694"/>
      <c r="M89" s="694"/>
      <c r="N89" s="694"/>
      <c r="O89" s="9"/>
      <c r="P89" s="13"/>
    </row>
    <row r="90" spans="1:18" ht="15.75">
      <c r="A90" s="44"/>
      <c r="B90" s="44"/>
      <c r="C90" s="44"/>
      <c r="D90" s="44"/>
      <c r="E90" s="46" t="s">
        <v>26</v>
      </c>
      <c r="F90" s="44"/>
      <c r="G90" s="111"/>
      <c r="H90" s="45"/>
      <c r="I90" s="45"/>
      <c r="J90" s="45"/>
      <c r="K90" s="45"/>
      <c r="L90" s="45"/>
      <c r="M90" s="160"/>
      <c r="N90" s="160"/>
      <c r="O90" s="160"/>
    </row>
    <row r="91" spans="1:18" s="94" customFormat="1" ht="36" customHeight="1">
      <c r="A91" s="9"/>
      <c r="B91" s="9"/>
      <c r="C91" s="9"/>
      <c r="D91" s="676" t="s">
        <v>38</v>
      </c>
      <c r="E91" s="676"/>
      <c r="F91" s="676"/>
      <c r="G91" s="112"/>
      <c r="H91" s="9"/>
      <c r="I91" s="11"/>
      <c r="J91" s="9"/>
      <c r="K91" s="11"/>
      <c r="L91" s="9"/>
      <c r="M91" s="9"/>
      <c r="N91" s="9"/>
      <c r="O91" s="9"/>
      <c r="Q91"/>
      <c r="R91"/>
    </row>
  </sheetData>
  <mergeCells count="16">
    <mergeCell ref="D91:F91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83:H83"/>
    <mergeCell ref="E86:N86"/>
    <mergeCell ref="E89:N89"/>
  </mergeCells>
  <pageMargins left="0.31496062992125984" right="0.31496062992125984" top="0.11811023622047245" bottom="0.39370078740157483" header="0.23622047244094491" footer="0.51181102362204722"/>
  <pageSetup paperSize="9" scale="66" fitToHeight="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3:R98"/>
  <sheetViews>
    <sheetView view="pageBreakPreview" topLeftCell="C76" zoomScale="85" zoomScaleSheetLayoutView="85" workbookViewId="0">
      <selection activeCell="G14" sqref="G14"/>
    </sheetView>
  </sheetViews>
  <sheetFormatPr defaultRowHeight="12.75"/>
  <cols>
    <col min="1" max="2" width="0" hidden="1" customWidth="1"/>
    <col min="4" max="4" width="21" customWidth="1"/>
    <col min="5" max="5" width="8.140625" style="14" customWidth="1"/>
    <col min="6" max="6" width="52.85546875" style="8" customWidth="1"/>
    <col min="7" max="7" width="11.7109375" style="107" customWidth="1"/>
    <col min="8" max="8" width="7.7109375" customWidth="1"/>
    <col min="9" max="10" width="11.85546875" customWidth="1"/>
    <col min="11" max="11" width="13.28515625" customWidth="1"/>
    <col min="12" max="12" width="14.140625" customWidth="1"/>
    <col min="13" max="13" width="11.85546875" style="94" customWidth="1"/>
    <col min="14" max="14" width="15" style="94" customWidth="1"/>
    <col min="15" max="15" width="11.7109375" style="94" customWidth="1"/>
    <col min="16" max="16" width="15.5703125" style="94" customWidth="1"/>
    <col min="17" max="17" width="5.85546875" hidden="1" customWidth="1"/>
  </cols>
  <sheetData>
    <row r="3" spans="1:16" s="1" customFormat="1" ht="15.75">
      <c r="E3" s="15"/>
      <c r="F3" s="2"/>
      <c r="G3" s="105"/>
      <c r="J3" s="42"/>
      <c r="M3" s="42" t="s">
        <v>0</v>
      </c>
      <c r="N3" s="94"/>
      <c r="O3" s="94"/>
      <c r="P3" s="94"/>
    </row>
    <row r="4" spans="1:16" s="1" customFormat="1">
      <c r="E4" s="15"/>
      <c r="F4" s="2"/>
      <c r="G4" s="105"/>
      <c r="J4" s="30"/>
      <c r="M4" s="30" t="s">
        <v>21</v>
      </c>
      <c r="N4" s="94"/>
      <c r="O4" s="94"/>
      <c r="P4" s="94"/>
    </row>
    <row r="5" spans="1:16" s="1" customFormat="1" ht="12" customHeight="1">
      <c r="C5" s="29"/>
      <c r="D5" s="29"/>
      <c r="E5" s="29"/>
      <c r="F5" s="29"/>
      <c r="G5" s="105"/>
      <c r="H5" s="29"/>
      <c r="I5" s="29"/>
      <c r="J5" s="30"/>
      <c r="M5" s="30" t="s">
        <v>1</v>
      </c>
      <c r="N5" s="94"/>
      <c r="O5" s="94"/>
      <c r="P5" s="94"/>
    </row>
    <row r="6" spans="1:16" s="3" customFormat="1" ht="12.75" customHeight="1">
      <c r="C6" s="29"/>
      <c r="D6" s="29"/>
      <c r="E6" s="29"/>
      <c r="F6" s="29"/>
      <c r="G6" s="105"/>
      <c r="H6" s="29"/>
      <c r="I6" s="29"/>
      <c r="J6" s="30"/>
      <c r="M6" s="30" t="s">
        <v>33</v>
      </c>
      <c r="N6" s="94"/>
      <c r="O6" s="94"/>
      <c r="P6" s="94"/>
    </row>
    <row r="7" spans="1:16" s="3" customFormat="1" ht="15" customHeight="1">
      <c r="C7" s="29"/>
      <c r="D7" s="29"/>
      <c r="E7" s="29"/>
      <c r="F7" s="29"/>
      <c r="G7" s="105"/>
      <c r="H7" s="29"/>
      <c r="I7" s="29"/>
      <c r="J7" s="4"/>
      <c r="M7" s="94"/>
      <c r="N7" s="94"/>
      <c r="O7" s="94"/>
      <c r="P7" s="94"/>
    </row>
    <row r="8" spans="1:16" s="3" customFormat="1" ht="15" customHeight="1">
      <c r="C8" s="29"/>
      <c r="D8" s="29"/>
      <c r="E8" s="29"/>
      <c r="F8" s="29"/>
      <c r="G8" s="105"/>
      <c r="H8" s="29"/>
      <c r="I8" s="29"/>
      <c r="J8" s="4"/>
      <c r="M8" s="94"/>
      <c r="N8" s="94"/>
      <c r="O8" s="94"/>
      <c r="P8" s="94"/>
    </row>
    <row r="9" spans="1:16" s="3" customFormat="1" ht="24" customHeight="1">
      <c r="C9" s="29"/>
      <c r="D9" s="29"/>
      <c r="E9" s="677" t="s">
        <v>22</v>
      </c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94"/>
    </row>
    <row r="10" spans="1:16" s="3" customFormat="1" ht="15" customHeight="1">
      <c r="C10" s="29"/>
      <c r="D10" s="29"/>
      <c r="E10" s="29"/>
      <c r="F10" s="29"/>
      <c r="G10" s="105"/>
      <c r="H10" s="29"/>
      <c r="I10" s="29"/>
      <c r="J10" s="4"/>
      <c r="M10" s="94"/>
      <c r="N10" s="94"/>
      <c r="O10" s="94"/>
      <c r="P10" s="94"/>
    </row>
    <row r="11" spans="1:16" s="32" customFormat="1" ht="19.5" customHeight="1">
      <c r="C11" s="33"/>
      <c r="D11" s="678" t="s">
        <v>35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</row>
    <row r="12" spans="1:16" s="32" customFormat="1" ht="21" customHeight="1">
      <c r="C12" s="33"/>
      <c r="D12" s="679" t="s">
        <v>71</v>
      </c>
      <c r="E12" s="679"/>
      <c r="F12" s="679"/>
      <c r="G12" s="679"/>
      <c r="H12" s="679"/>
      <c r="I12" s="679"/>
      <c r="J12" s="679"/>
      <c r="K12" s="679"/>
      <c r="L12" s="679"/>
      <c r="M12" s="679"/>
      <c r="N12" s="679"/>
      <c r="O12" s="679"/>
      <c r="P12" s="679"/>
    </row>
    <row r="13" spans="1:16" s="32" customFormat="1" ht="19.5" customHeight="1">
      <c r="A13" s="33"/>
      <c r="B13" s="34"/>
      <c r="C13" s="33"/>
      <c r="D13" s="33"/>
      <c r="E13" s="680" t="s">
        <v>39</v>
      </c>
      <c r="F13" s="680"/>
      <c r="G13" s="680"/>
      <c r="H13" s="680"/>
      <c r="I13" s="680"/>
      <c r="J13" s="680"/>
      <c r="K13" s="680"/>
      <c r="L13" s="680"/>
      <c r="M13" s="680"/>
      <c r="N13" s="680"/>
      <c r="O13" s="680"/>
    </row>
    <row r="14" spans="1:16" s="3" customFormat="1" ht="18" customHeight="1">
      <c r="A14" s="6"/>
      <c r="B14" s="7"/>
      <c r="C14" s="29"/>
      <c r="D14" s="29"/>
      <c r="E14" s="31"/>
      <c r="F14" s="31"/>
      <c r="G14" s="105"/>
      <c r="H14" s="31"/>
      <c r="I14" s="31"/>
      <c r="J14" s="31"/>
      <c r="K14" s="31"/>
      <c r="L14" s="31"/>
      <c r="M14" s="158"/>
      <c r="N14" s="158"/>
      <c r="O14" s="158"/>
      <c r="P14" s="94"/>
    </row>
    <row r="15" spans="1:16" s="3" customFormat="1" ht="15.75">
      <c r="A15" s="16" t="s">
        <v>2</v>
      </c>
      <c r="B15" s="17"/>
      <c r="C15" s="29"/>
      <c r="D15" s="29"/>
      <c r="E15" s="29"/>
      <c r="F15" s="29"/>
      <c r="G15" s="105"/>
      <c r="H15" s="29"/>
      <c r="I15" s="29"/>
      <c r="J15" s="5"/>
      <c r="K15" s="5"/>
      <c r="L15" s="5"/>
      <c r="M15" s="5"/>
      <c r="N15" s="5"/>
      <c r="O15" s="94"/>
      <c r="P15" s="94"/>
    </row>
    <row r="16" spans="1:16" s="94" customFormat="1" ht="57" customHeight="1">
      <c r="A16" s="92" t="s">
        <v>3</v>
      </c>
      <c r="B16" s="93"/>
      <c r="C16" s="93"/>
      <c r="D16" s="681" t="s">
        <v>13</v>
      </c>
      <c r="E16" s="682" t="s">
        <v>4</v>
      </c>
      <c r="F16" s="684" t="s">
        <v>14</v>
      </c>
      <c r="G16" s="681" t="s">
        <v>51</v>
      </c>
      <c r="H16" s="681"/>
      <c r="I16" s="686" t="s">
        <v>15</v>
      </c>
      <c r="J16" s="687"/>
      <c r="K16" s="688" t="s">
        <v>5</v>
      </c>
      <c r="L16" s="687"/>
      <c r="M16" s="686" t="s">
        <v>16</v>
      </c>
      <c r="N16" s="687"/>
      <c r="O16" s="686" t="s">
        <v>17</v>
      </c>
      <c r="P16" s="689"/>
    </row>
    <row r="17" spans="1:18" s="94" customFormat="1" ht="15.75" customHeight="1">
      <c r="A17" s="92"/>
      <c r="B17" s="95"/>
      <c r="C17" s="95"/>
      <c r="D17" s="681"/>
      <c r="E17" s="683"/>
      <c r="F17" s="685"/>
      <c r="G17" s="106" t="s">
        <v>6</v>
      </c>
      <c r="H17" s="96" t="s">
        <v>7</v>
      </c>
      <c r="I17" s="97" t="s">
        <v>18</v>
      </c>
      <c r="J17" s="96" t="s">
        <v>19</v>
      </c>
      <c r="K17" s="97" t="s">
        <v>18</v>
      </c>
      <c r="L17" s="96" t="s">
        <v>19</v>
      </c>
      <c r="M17" s="97" t="s">
        <v>18</v>
      </c>
      <c r="N17" s="96" t="s">
        <v>19</v>
      </c>
      <c r="O17" s="97" t="s">
        <v>18</v>
      </c>
      <c r="P17" s="96" t="s">
        <v>19</v>
      </c>
    </row>
    <row r="18" spans="1:18" s="99" customFormat="1" ht="16.5" customHeight="1">
      <c r="A18" s="98">
        <v>1</v>
      </c>
      <c r="B18" s="98"/>
      <c r="C18" s="98"/>
      <c r="D18" s="96">
        <v>1</v>
      </c>
      <c r="E18" s="186">
        <v>2</v>
      </c>
      <c r="F18" s="185">
        <v>3</v>
      </c>
      <c r="G18" s="130">
        <v>4</v>
      </c>
      <c r="H18" s="96">
        <v>5</v>
      </c>
      <c r="I18" s="97">
        <v>6</v>
      </c>
      <c r="J18" s="96">
        <v>7</v>
      </c>
      <c r="K18" s="97">
        <v>8</v>
      </c>
      <c r="L18" s="96">
        <v>9</v>
      </c>
      <c r="M18" s="96">
        <v>10</v>
      </c>
      <c r="N18" s="96">
        <v>11</v>
      </c>
      <c r="O18" s="96">
        <v>12</v>
      </c>
      <c r="P18" s="96">
        <v>13</v>
      </c>
    </row>
    <row r="19" spans="1:18" s="74" customFormat="1" ht="22.5">
      <c r="A19" s="65" t="s">
        <v>10</v>
      </c>
      <c r="B19" s="66">
        <v>9</v>
      </c>
      <c r="C19" s="60"/>
      <c r="D19" s="79" t="s">
        <v>23</v>
      </c>
      <c r="E19" s="75">
        <v>2301400</v>
      </c>
      <c r="F19" s="67" t="s">
        <v>9</v>
      </c>
      <c r="G19" s="68">
        <v>41974</v>
      </c>
      <c r="H19" s="69">
        <v>907</v>
      </c>
      <c r="I19" s="70">
        <v>6</v>
      </c>
      <c r="J19" s="167">
        <v>169.84</v>
      </c>
      <c r="K19" s="70"/>
      <c r="L19" s="167"/>
      <c r="M19" s="70">
        <v>2</v>
      </c>
      <c r="N19" s="167">
        <v>107.75</v>
      </c>
      <c r="O19" s="189">
        <f t="shared" ref="O19:P36" si="0">I19+K19-M19</f>
        <v>4</v>
      </c>
      <c r="P19" s="190">
        <f t="shared" si="0"/>
        <v>62.09</v>
      </c>
      <c r="Q19" s="73"/>
      <c r="R19" s="73"/>
    </row>
    <row r="20" spans="1:18" s="119" customFormat="1" ht="24.75" customHeight="1">
      <c r="A20" s="116"/>
      <c r="B20" s="117"/>
      <c r="C20" s="60"/>
      <c r="D20" s="79" t="s">
        <v>27</v>
      </c>
      <c r="E20" s="75">
        <v>2301400</v>
      </c>
      <c r="F20" s="135" t="s">
        <v>31</v>
      </c>
      <c r="G20" s="76">
        <v>42347</v>
      </c>
      <c r="H20" s="22">
        <v>833</v>
      </c>
      <c r="I20" s="35">
        <v>1</v>
      </c>
      <c r="J20" s="170">
        <v>1026.1600000000001</v>
      </c>
      <c r="K20" s="35"/>
      <c r="L20" s="170"/>
      <c r="M20" s="35"/>
      <c r="N20" s="170"/>
      <c r="O20" s="156">
        <f t="shared" si="0"/>
        <v>1</v>
      </c>
      <c r="P20" s="172">
        <f t="shared" si="0"/>
        <v>1026.1600000000001</v>
      </c>
      <c r="Q20" s="118"/>
      <c r="R20" s="118"/>
    </row>
    <row r="21" spans="1:18" s="89" customFormat="1" ht="24.75" customHeight="1">
      <c r="A21" s="80"/>
      <c r="B21" s="81"/>
      <c r="C21" s="60"/>
      <c r="D21" s="100" t="s">
        <v>36</v>
      </c>
      <c r="E21" s="75">
        <v>2301400</v>
      </c>
      <c r="F21" s="135" t="s">
        <v>31</v>
      </c>
      <c r="G21" s="76">
        <v>42647</v>
      </c>
      <c r="H21" s="22">
        <v>1034</v>
      </c>
      <c r="I21" s="35">
        <v>1</v>
      </c>
      <c r="J21" s="170">
        <v>1026.1600000000001</v>
      </c>
      <c r="K21" s="35"/>
      <c r="L21" s="170"/>
      <c r="M21" s="35"/>
      <c r="N21" s="170"/>
      <c r="O21" s="156">
        <f t="shared" si="0"/>
        <v>1</v>
      </c>
      <c r="P21" s="172">
        <f t="shared" si="0"/>
        <v>1026.1600000000001</v>
      </c>
      <c r="Q21" s="88"/>
      <c r="R21" s="88"/>
    </row>
    <row r="22" spans="1:18" s="62" customFormat="1" ht="24.75" customHeight="1">
      <c r="A22" s="59"/>
      <c r="B22" s="60"/>
      <c r="C22" s="60"/>
      <c r="D22" s="79" t="s">
        <v>27</v>
      </c>
      <c r="E22" s="75">
        <v>2301400</v>
      </c>
      <c r="F22" s="178" t="s">
        <v>29</v>
      </c>
      <c r="G22" s="54">
        <v>42347</v>
      </c>
      <c r="H22" s="55">
        <v>833</v>
      </c>
      <c r="I22" s="35">
        <v>1</v>
      </c>
      <c r="J22" s="170">
        <v>2094.4</v>
      </c>
      <c r="K22" s="35"/>
      <c r="L22" s="170"/>
      <c r="M22" s="35"/>
      <c r="N22" s="170"/>
      <c r="O22" s="156">
        <f t="shared" si="0"/>
        <v>1</v>
      </c>
      <c r="P22" s="170">
        <f t="shared" si="0"/>
        <v>2094.4</v>
      </c>
      <c r="Q22" s="61"/>
      <c r="R22" s="61"/>
    </row>
    <row r="23" spans="1:18" s="89" customFormat="1" ht="37.5" customHeight="1">
      <c r="A23" s="80"/>
      <c r="B23" s="81"/>
      <c r="C23" s="60"/>
      <c r="D23" s="100" t="s">
        <v>36</v>
      </c>
      <c r="E23" s="75">
        <v>2301400</v>
      </c>
      <c r="F23" s="178" t="s">
        <v>29</v>
      </c>
      <c r="G23" s="83">
        <v>42647</v>
      </c>
      <c r="H23" s="84">
        <v>1034</v>
      </c>
      <c r="I23" s="35">
        <v>1</v>
      </c>
      <c r="J23" s="170">
        <v>2094.4</v>
      </c>
      <c r="K23" s="35"/>
      <c r="L23" s="170"/>
      <c r="M23" s="35"/>
      <c r="N23" s="170"/>
      <c r="O23" s="156">
        <f t="shared" si="0"/>
        <v>1</v>
      </c>
      <c r="P23" s="170">
        <f t="shared" si="0"/>
        <v>2094.4</v>
      </c>
      <c r="Q23" s="88"/>
      <c r="R23" s="88"/>
    </row>
    <row r="24" spans="1:18" s="62" customFormat="1" ht="24" customHeight="1">
      <c r="A24" s="59"/>
      <c r="B24" s="60"/>
      <c r="C24" s="60"/>
      <c r="D24" s="79" t="s">
        <v>27</v>
      </c>
      <c r="E24" s="75">
        <v>2301400</v>
      </c>
      <c r="F24" s="155" t="s">
        <v>32</v>
      </c>
      <c r="G24" s="54">
        <v>42347</v>
      </c>
      <c r="H24" s="55">
        <v>833</v>
      </c>
      <c r="I24" s="35">
        <v>6</v>
      </c>
      <c r="J24" s="170">
        <v>4721.3999999999996</v>
      </c>
      <c r="K24" s="35"/>
      <c r="L24" s="170"/>
      <c r="M24" s="35"/>
      <c r="N24" s="170"/>
      <c r="O24" s="156">
        <f t="shared" si="0"/>
        <v>6</v>
      </c>
      <c r="P24" s="172">
        <f t="shared" si="0"/>
        <v>4721.3999999999996</v>
      </c>
      <c r="Q24" s="61"/>
      <c r="R24" s="61"/>
    </row>
    <row r="25" spans="1:18" s="62" customFormat="1" ht="29.25" customHeight="1">
      <c r="A25" s="59"/>
      <c r="B25" s="60"/>
      <c r="C25" s="60"/>
      <c r="D25" s="79" t="s">
        <v>24</v>
      </c>
      <c r="E25" s="75">
        <v>2301400</v>
      </c>
      <c r="F25" s="188" t="s">
        <v>40</v>
      </c>
      <c r="G25" s="114">
        <v>42976</v>
      </c>
      <c r="H25" s="115">
        <v>977</v>
      </c>
      <c r="I25" s="35">
        <v>4</v>
      </c>
      <c r="J25" s="170">
        <v>8081.6</v>
      </c>
      <c r="K25" s="35"/>
      <c r="L25" s="170"/>
      <c r="M25" s="35"/>
      <c r="N25" s="170"/>
      <c r="O25" s="156">
        <f t="shared" si="0"/>
        <v>4</v>
      </c>
      <c r="P25" s="172">
        <f t="shared" si="0"/>
        <v>8081.6</v>
      </c>
      <c r="Q25" s="61"/>
      <c r="R25" s="61"/>
    </row>
    <row r="26" spans="1:18" s="62" customFormat="1" ht="24.75" customHeight="1">
      <c r="A26" s="59"/>
      <c r="B26" s="60"/>
      <c r="C26" s="60"/>
      <c r="D26" s="79" t="s">
        <v>24</v>
      </c>
      <c r="E26" s="75">
        <v>2301400</v>
      </c>
      <c r="F26" s="177" t="s">
        <v>41</v>
      </c>
      <c r="G26" s="114">
        <v>43046</v>
      </c>
      <c r="H26" s="115">
        <v>1379</v>
      </c>
      <c r="I26" s="35">
        <v>180</v>
      </c>
      <c r="J26" s="170">
        <v>25070.400000000001</v>
      </c>
      <c r="K26" s="35"/>
      <c r="L26" s="170"/>
      <c r="M26" s="35">
        <f>60+60+30</f>
        <v>150</v>
      </c>
      <c r="N26" s="170">
        <f>8356.8+8356.8+4178.4-89.44</f>
        <v>20802.560000000001</v>
      </c>
      <c r="O26" s="156">
        <f t="shared" si="0"/>
        <v>30</v>
      </c>
      <c r="P26" s="172">
        <f t="shared" si="0"/>
        <v>4267.84</v>
      </c>
      <c r="Q26" s="61"/>
      <c r="R26" s="61"/>
    </row>
    <row r="27" spans="1:18" s="62" customFormat="1" ht="24.75" customHeight="1">
      <c r="A27" s="59"/>
      <c r="B27" s="60"/>
      <c r="C27" s="60"/>
      <c r="D27" s="79" t="s">
        <v>24</v>
      </c>
      <c r="E27" s="75">
        <v>2301400</v>
      </c>
      <c r="F27" s="177" t="s">
        <v>41</v>
      </c>
      <c r="G27" s="114">
        <v>43222</v>
      </c>
      <c r="H27" s="115">
        <v>834</v>
      </c>
      <c r="I27" s="35">
        <v>0</v>
      </c>
      <c r="J27" s="170">
        <v>0</v>
      </c>
      <c r="K27" s="35">
        <v>40</v>
      </c>
      <c r="L27" s="170">
        <v>5571.2</v>
      </c>
      <c r="M27" s="35">
        <v>0</v>
      </c>
      <c r="N27" s="170">
        <v>0</v>
      </c>
      <c r="O27" s="156">
        <f>I27+K27-M27</f>
        <v>40</v>
      </c>
      <c r="P27" s="172">
        <f>J27+L27-N27</f>
        <v>5571.2</v>
      </c>
      <c r="Q27" s="61"/>
      <c r="R27" s="61"/>
    </row>
    <row r="28" spans="1:18" s="62" customFormat="1" ht="31.5">
      <c r="A28" s="59"/>
      <c r="B28" s="60"/>
      <c r="C28" s="60"/>
      <c r="D28" s="79" t="s">
        <v>24</v>
      </c>
      <c r="E28" s="75">
        <v>2301400</v>
      </c>
      <c r="F28" s="179" t="s">
        <v>53</v>
      </c>
      <c r="G28" s="114">
        <v>43046</v>
      </c>
      <c r="H28" s="115">
        <v>1379</v>
      </c>
      <c r="I28" s="35">
        <v>180</v>
      </c>
      <c r="J28" s="170">
        <v>94469.4</v>
      </c>
      <c r="K28" s="35"/>
      <c r="L28" s="170"/>
      <c r="M28" s="35">
        <f>60+60+30</f>
        <v>150</v>
      </c>
      <c r="N28" s="170">
        <f>31489.8+31489.8+15744.9</f>
        <v>78724.5</v>
      </c>
      <c r="O28" s="156">
        <f t="shared" si="0"/>
        <v>30</v>
      </c>
      <c r="P28" s="172">
        <f t="shared" si="0"/>
        <v>15744.899999999994</v>
      </c>
      <c r="Q28" s="61"/>
      <c r="R28" s="61"/>
    </row>
    <row r="29" spans="1:18" s="62" customFormat="1" ht="31.5">
      <c r="A29" s="59"/>
      <c r="B29" s="60"/>
      <c r="C29" s="60"/>
      <c r="D29" s="79" t="s">
        <v>24</v>
      </c>
      <c r="E29" s="75">
        <v>2301400</v>
      </c>
      <c r="F29" s="179" t="s">
        <v>53</v>
      </c>
      <c r="G29" s="114">
        <v>43222</v>
      </c>
      <c r="H29" s="115">
        <v>834</v>
      </c>
      <c r="I29" s="35">
        <v>0</v>
      </c>
      <c r="J29" s="170">
        <v>0</v>
      </c>
      <c r="K29" s="35">
        <v>39</v>
      </c>
      <c r="L29" s="170">
        <v>20468.37</v>
      </c>
      <c r="M29" s="35">
        <v>0</v>
      </c>
      <c r="N29" s="170">
        <v>0</v>
      </c>
      <c r="O29" s="156">
        <f>I29+K29-M29</f>
        <v>39</v>
      </c>
      <c r="P29" s="172">
        <f>J29+L29-N29</f>
        <v>20468.37</v>
      </c>
      <c r="Q29" s="61"/>
      <c r="R29" s="61"/>
    </row>
    <row r="30" spans="1:18" s="62" customFormat="1" ht="26.25" customHeight="1">
      <c r="A30" s="59"/>
      <c r="B30" s="60"/>
      <c r="C30" s="60"/>
      <c r="D30" s="79" t="s">
        <v>24</v>
      </c>
      <c r="E30" s="75">
        <v>2301400</v>
      </c>
      <c r="F30" s="149" t="s">
        <v>44</v>
      </c>
      <c r="G30" s="114">
        <v>43066</v>
      </c>
      <c r="H30" s="115">
        <v>1476</v>
      </c>
      <c r="I30" s="35">
        <v>5</v>
      </c>
      <c r="J30" s="170">
        <v>1010.9</v>
      </c>
      <c r="K30" s="35"/>
      <c r="L30" s="170"/>
      <c r="M30" s="35"/>
      <c r="N30" s="170"/>
      <c r="O30" s="156">
        <f t="shared" si="0"/>
        <v>5</v>
      </c>
      <c r="P30" s="172">
        <f t="shared" si="0"/>
        <v>1010.9</v>
      </c>
      <c r="Q30" s="61"/>
      <c r="R30" s="61"/>
    </row>
    <row r="31" spans="1:18" s="62" customFormat="1" ht="26.25" customHeight="1">
      <c r="A31" s="59"/>
      <c r="B31" s="60"/>
      <c r="C31" s="60"/>
      <c r="D31" s="79" t="s">
        <v>24</v>
      </c>
      <c r="E31" s="75">
        <v>2301400</v>
      </c>
      <c r="F31" s="149" t="s">
        <v>44</v>
      </c>
      <c r="G31" s="114">
        <v>43061</v>
      </c>
      <c r="H31" s="115" t="s">
        <v>59</v>
      </c>
      <c r="I31" s="35">
        <v>205</v>
      </c>
      <c r="J31" s="170">
        <v>41446.9</v>
      </c>
      <c r="K31" s="35"/>
      <c r="L31" s="170"/>
      <c r="M31" s="35"/>
      <c r="N31" s="170"/>
      <c r="O31" s="156">
        <f t="shared" si="0"/>
        <v>205</v>
      </c>
      <c r="P31" s="172">
        <f t="shared" si="0"/>
        <v>41446.9</v>
      </c>
      <c r="Q31" s="61"/>
      <c r="R31" s="61"/>
    </row>
    <row r="32" spans="1:18" s="62" customFormat="1" ht="26.25" customHeight="1">
      <c r="A32" s="59"/>
      <c r="B32" s="60"/>
      <c r="C32" s="60"/>
      <c r="D32" s="79" t="s">
        <v>24</v>
      </c>
      <c r="E32" s="75">
        <v>2301400</v>
      </c>
      <c r="F32" s="51" t="s">
        <v>55</v>
      </c>
      <c r="G32" s="114">
        <v>43046</v>
      </c>
      <c r="H32" s="115">
        <v>1379</v>
      </c>
      <c r="I32" s="35">
        <v>44</v>
      </c>
      <c r="J32" s="170">
        <v>13134</v>
      </c>
      <c r="K32" s="35"/>
      <c r="L32" s="170"/>
      <c r="M32" s="35">
        <f>30+14</f>
        <v>44</v>
      </c>
      <c r="N32" s="170">
        <f>8955+4179</f>
        <v>13134</v>
      </c>
      <c r="O32" s="35">
        <f t="shared" si="0"/>
        <v>0</v>
      </c>
      <c r="P32" s="170">
        <f t="shared" si="0"/>
        <v>0</v>
      </c>
      <c r="Q32" s="61"/>
      <c r="R32" s="61"/>
    </row>
    <row r="33" spans="1:18" s="62" customFormat="1" ht="26.25" customHeight="1">
      <c r="A33" s="59"/>
      <c r="B33" s="60"/>
      <c r="C33" s="60"/>
      <c r="D33" s="79" t="s">
        <v>24</v>
      </c>
      <c r="E33" s="75">
        <v>2301400</v>
      </c>
      <c r="F33" s="51" t="s">
        <v>55</v>
      </c>
      <c r="G33" s="114">
        <v>43066</v>
      </c>
      <c r="H33" s="115">
        <v>1476</v>
      </c>
      <c r="I33" s="35">
        <v>6</v>
      </c>
      <c r="J33" s="170">
        <v>1791</v>
      </c>
      <c r="K33" s="35"/>
      <c r="L33" s="170"/>
      <c r="M33" s="35">
        <f>6</f>
        <v>6</v>
      </c>
      <c r="N33" s="170">
        <v>1791</v>
      </c>
      <c r="O33" s="35">
        <f t="shared" si="0"/>
        <v>0</v>
      </c>
      <c r="P33" s="170">
        <f t="shared" si="0"/>
        <v>0</v>
      </c>
      <c r="Q33" s="61"/>
      <c r="R33" s="61"/>
    </row>
    <row r="34" spans="1:18" s="62" customFormat="1" ht="26.25" customHeight="1">
      <c r="A34" s="59"/>
      <c r="B34" s="60"/>
      <c r="C34" s="60"/>
      <c r="D34" s="79" t="s">
        <v>24</v>
      </c>
      <c r="E34" s="75">
        <v>2301400</v>
      </c>
      <c r="F34" s="155" t="s">
        <v>55</v>
      </c>
      <c r="G34" s="114">
        <v>43061</v>
      </c>
      <c r="H34" s="115" t="s">
        <v>59</v>
      </c>
      <c r="I34" s="35">
        <v>36</v>
      </c>
      <c r="J34" s="170">
        <v>10746</v>
      </c>
      <c r="K34" s="35"/>
      <c r="L34" s="170"/>
      <c r="M34" s="35">
        <f>25+11</f>
        <v>36</v>
      </c>
      <c r="N34" s="170">
        <f>7462.5+3283.5</f>
        <v>10746</v>
      </c>
      <c r="O34" s="156">
        <f t="shared" si="0"/>
        <v>0</v>
      </c>
      <c r="P34" s="172">
        <f t="shared" si="0"/>
        <v>0</v>
      </c>
      <c r="Q34" s="61"/>
      <c r="R34" s="61"/>
    </row>
    <row r="35" spans="1:18" s="62" customFormat="1" ht="26.25" customHeight="1">
      <c r="A35" s="59"/>
      <c r="B35" s="60"/>
      <c r="C35" s="60"/>
      <c r="D35" s="79" t="s">
        <v>24</v>
      </c>
      <c r="E35" s="75">
        <v>2301400</v>
      </c>
      <c r="F35" s="155" t="s">
        <v>55</v>
      </c>
      <c r="G35" s="114">
        <v>43061</v>
      </c>
      <c r="H35" s="115" t="s">
        <v>59</v>
      </c>
      <c r="I35" s="35">
        <v>86</v>
      </c>
      <c r="J35" s="170">
        <v>25671</v>
      </c>
      <c r="K35" s="35"/>
      <c r="L35" s="170"/>
      <c r="M35" s="35">
        <v>34</v>
      </c>
      <c r="N35" s="170">
        <f>10149</f>
        <v>10149</v>
      </c>
      <c r="O35" s="156">
        <f t="shared" si="0"/>
        <v>52</v>
      </c>
      <c r="P35" s="172">
        <f t="shared" si="0"/>
        <v>15522</v>
      </c>
      <c r="Q35" s="61"/>
      <c r="R35" s="61"/>
    </row>
    <row r="36" spans="1:18" s="62" customFormat="1" ht="26.25" customHeight="1">
      <c r="A36" s="59"/>
      <c r="B36" s="60"/>
      <c r="C36" s="60"/>
      <c r="D36" s="79" t="s">
        <v>24</v>
      </c>
      <c r="E36" s="75">
        <v>2301400</v>
      </c>
      <c r="F36" s="173" t="s">
        <v>56</v>
      </c>
      <c r="G36" s="114">
        <v>43046</v>
      </c>
      <c r="H36" s="115">
        <v>1379</v>
      </c>
      <c r="I36" s="35">
        <v>18</v>
      </c>
      <c r="J36" s="170">
        <v>5398.2</v>
      </c>
      <c r="K36" s="35"/>
      <c r="L36" s="170"/>
      <c r="M36" s="35">
        <v>18</v>
      </c>
      <c r="N36" s="170">
        <v>5398.2</v>
      </c>
      <c r="O36" s="156">
        <f t="shared" si="0"/>
        <v>0</v>
      </c>
      <c r="P36" s="172">
        <f t="shared" si="0"/>
        <v>0</v>
      </c>
      <c r="Q36" s="61"/>
      <c r="R36" s="61"/>
    </row>
    <row r="37" spans="1:18" s="62" customFormat="1" ht="26.25" customHeight="1">
      <c r="A37" s="59"/>
      <c r="B37" s="60"/>
      <c r="C37" s="60"/>
      <c r="D37" s="79" t="s">
        <v>24</v>
      </c>
      <c r="E37" s="75">
        <v>2301400</v>
      </c>
      <c r="F37" s="173" t="s">
        <v>56</v>
      </c>
      <c r="G37" s="114">
        <v>43066</v>
      </c>
      <c r="H37" s="115">
        <v>1476</v>
      </c>
      <c r="I37" s="35">
        <v>162</v>
      </c>
      <c r="J37" s="170">
        <v>48583.8</v>
      </c>
      <c r="K37" s="35"/>
      <c r="L37" s="170"/>
      <c r="M37" s="35">
        <f>20+60</f>
        <v>80</v>
      </c>
      <c r="N37" s="170">
        <f>5998+17994</f>
        <v>23992</v>
      </c>
      <c r="O37" s="156">
        <f t="shared" ref="O37:Q89" si="1">I37+K37-M37</f>
        <v>82</v>
      </c>
      <c r="P37" s="172">
        <f t="shared" si="1"/>
        <v>24591.800000000003</v>
      </c>
      <c r="Q37" s="61"/>
      <c r="R37" s="61"/>
    </row>
    <row r="38" spans="1:18" s="62" customFormat="1" ht="24" customHeight="1">
      <c r="A38" s="59"/>
      <c r="B38" s="60"/>
      <c r="C38" s="60"/>
      <c r="D38" s="79" t="s">
        <v>24</v>
      </c>
      <c r="E38" s="75">
        <v>2301400</v>
      </c>
      <c r="F38" s="51" t="s">
        <v>43</v>
      </c>
      <c r="G38" s="114">
        <v>43047</v>
      </c>
      <c r="H38" s="115">
        <v>1381</v>
      </c>
      <c r="I38" s="35">
        <v>40</v>
      </c>
      <c r="J38" s="170">
        <v>21408.799999999999</v>
      </c>
      <c r="K38" s="35"/>
      <c r="L38" s="170"/>
      <c r="M38" s="35">
        <v>40</v>
      </c>
      <c r="N38" s="170">
        <v>21408.799999999999</v>
      </c>
      <c r="O38" s="35">
        <f t="shared" si="1"/>
        <v>0</v>
      </c>
      <c r="P38" s="170">
        <f t="shared" si="1"/>
        <v>0</v>
      </c>
      <c r="Q38" s="61"/>
      <c r="R38" s="61"/>
    </row>
    <row r="39" spans="1:18" s="62" customFormat="1" ht="24" customHeight="1">
      <c r="A39" s="59"/>
      <c r="B39" s="60"/>
      <c r="C39" s="60"/>
      <c r="D39" s="79" t="s">
        <v>24</v>
      </c>
      <c r="E39" s="75">
        <v>2301400</v>
      </c>
      <c r="F39" s="162" t="s">
        <v>43</v>
      </c>
      <c r="G39" s="114">
        <v>43040</v>
      </c>
      <c r="H39" s="115">
        <v>1353</v>
      </c>
      <c r="I39" s="35">
        <v>210</v>
      </c>
      <c r="J39" s="170">
        <v>112396.2</v>
      </c>
      <c r="K39" s="35"/>
      <c r="L39" s="170"/>
      <c r="M39" s="35">
        <f>55+20+30</f>
        <v>105</v>
      </c>
      <c r="N39" s="170">
        <f>29437.1+10704.4+16056.6</f>
        <v>56198.1</v>
      </c>
      <c r="O39" s="156">
        <f t="shared" si="1"/>
        <v>105</v>
      </c>
      <c r="P39" s="170">
        <f t="shared" si="1"/>
        <v>56198.1</v>
      </c>
      <c r="Q39" s="61"/>
      <c r="R39" s="61"/>
    </row>
    <row r="40" spans="1:18" s="62" customFormat="1" ht="24" customHeight="1">
      <c r="A40" s="59"/>
      <c r="B40" s="60"/>
      <c r="C40" s="60"/>
      <c r="D40" s="79" t="s">
        <v>24</v>
      </c>
      <c r="E40" s="75">
        <v>2301400</v>
      </c>
      <c r="F40" s="162" t="s">
        <v>43</v>
      </c>
      <c r="G40" s="114">
        <v>43222</v>
      </c>
      <c r="H40" s="115">
        <v>834</v>
      </c>
      <c r="I40" s="35">
        <v>0</v>
      </c>
      <c r="J40" s="170">
        <v>0</v>
      </c>
      <c r="K40" s="35">
        <v>15</v>
      </c>
      <c r="L40" s="170">
        <v>8028.3</v>
      </c>
      <c r="M40" s="35">
        <v>0</v>
      </c>
      <c r="N40" s="170">
        <v>0</v>
      </c>
      <c r="O40" s="156">
        <f>I40+K40-M40</f>
        <v>15</v>
      </c>
      <c r="P40" s="170">
        <f>J40+L40-N40</f>
        <v>8028.3</v>
      </c>
      <c r="Q40" s="61"/>
      <c r="R40" s="61"/>
    </row>
    <row r="41" spans="1:18" s="62" customFormat="1" ht="24" customHeight="1">
      <c r="A41" s="59"/>
      <c r="B41" s="60"/>
      <c r="C41" s="60"/>
      <c r="D41" s="79" t="s">
        <v>24</v>
      </c>
      <c r="E41" s="75">
        <v>2301400</v>
      </c>
      <c r="F41" s="161" t="s">
        <v>48</v>
      </c>
      <c r="G41" s="114">
        <v>43052</v>
      </c>
      <c r="H41" s="115">
        <v>1405</v>
      </c>
      <c r="I41" s="35">
        <v>120</v>
      </c>
      <c r="J41" s="170">
        <v>58734</v>
      </c>
      <c r="K41" s="35"/>
      <c r="L41" s="170"/>
      <c r="M41" s="35">
        <f>15+30+10+25+20</f>
        <v>100</v>
      </c>
      <c r="N41" s="170">
        <f>7341.75+14683.5+4894.5+12236.25+9789</f>
        <v>48945</v>
      </c>
      <c r="O41" s="35">
        <f t="shared" si="1"/>
        <v>20</v>
      </c>
      <c r="P41" s="170">
        <f t="shared" si="1"/>
        <v>9789</v>
      </c>
      <c r="Q41" s="61"/>
      <c r="R41" s="61"/>
    </row>
    <row r="42" spans="1:18" s="62" customFormat="1" ht="24" customHeight="1">
      <c r="A42" s="59"/>
      <c r="B42" s="60"/>
      <c r="C42" s="60"/>
      <c r="D42" s="79" t="s">
        <v>24</v>
      </c>
      <c r="E42" s="75">
        <v>2301400</v>
      </c>
      <c r="F42" s="51" t="s">
        <v>48</v>
      </c>
      <c r="G42" s="114">
        <v>43066</v>
      </c>
      <c r="H42" s="115">
        <v>1476</v>
      </c>
      <c r="I42" s="35">
        <v>30</v>
      </c>
      <c r="J42" s="170">
        <v>14683.5</v>
      </c>
      <c r="K42" s="35"/>
      <c r="L42" s="170"/>
      <c r="M42" s="35">
        <v>30</v>
      </c>
      <c r="N42" s="170">
        <v>14683.5</v>
      </c>
      <c r="O42" s="35">
        <f t="shared" si="1"/>
        <v>0</v>
      </c>
      <c r="P42" s="170">
        <f t="shared" si="1"/>
        <v>0</v>
      </c>
      <c r="Q42" s="77">
        <f t="shared" si="1"/>
        <v>30</v>
      </c>
      <c r="R42" s="61"/>
    </row>
    <row r="43" spans="1:18" s="62" customFormat="1" ht="24" customHeight="1">
      <c r="A43" s="59"/>
      <c r="B43" s="60"/>
      <c r="C43" s="60"/>
      <c r="D43" s="79" t="s">
        <v>24</v>
      </c>
      <c r="E43" s="75">
        <v>2301400</v>
      </c>
      <c r="F43" s="161" t="s">
        <v>48</v>
      </c>
      <c r="G43" s="114">
        <v>43182</v>
      </c>
      <c r="H43" s="115">
        <v>546</v>
      </c>
      <c r="I43" s="35">
        <v>0</v>
      </c>
      <c r="J43" s="170">
        <v>0</v>
      </c>
      <c r="K43" s="35">
        <v>65</v>
      </c>
      <c r="L43" s="170">
        <v>31814.25</v>
      </c>
      <c r="M43" s="35">
        <v>0</v>
      </c>
      <c r="N43" s="170">
        <v>0</v>
      </c>
      <c r="O43" s="35">
        <f t="shared" si="1"/>
        <v>65</v>
      </c>
      <c r="P43" s="170">
        <f t="shared" si="1"/>
        <v>31814.25</v>
      </c>
      <c r="Q43" s="61"/>
      <c r="R43" s="61"/>
    </row>
    <row r="44" spans="1:18" s="134" customFormat="1" ht="27" customHeight="1">
      <c r="A44" s="131"/>
      <c r="B44" s="132"/>
      <c r="C44" s="60"/>
      <c r="D44" s="79" t="s">
        <v>24</v>
      </c>
      <c r="E44" s="75">
        <v>2301400</v>
      </c>
      <c r="F44" s="149" t="s">
        <v>44</v>
      </c>
      <c r="G44" s="114">
        <v>43082</v>
      </c>
      <c r="H44" s="115">
        <v>1583</v>
      </c>
      <c r="I44" s="22">
        <v>0</v>
      </c>
      <c r="J44" s="170">
        <v>0</v>
      </c>
      <c r="K44" s="35">
        <v>50</v>
      </c>
      <c r="L44" s="170">
        <v>10109</v>
      </c>
      <c r="M44" s="35">
        <v>0</v>
      </c>
      <c r="N44" s="170">
        <v>0</v>
      </c>
      <c r="O44" s="156">
        <f>I44+K44-M44</f>
        <v>50</v>
      </c>
      <c r="P44" s="172">
        <f>J44+L44-N44</f>
        <v>10109</v>
      </c>
      <c r="Q44" s="133"/>
      <c r="R44" s="133"/>
    </row>
    <row r="45" spans="1:18" s="139" customFormat="1" ht="27" customHeight="1">
      <c r="A45" s="136"/>
      <c r="B45" s="137"/>
      <c r="C45" s="60"/>
      <c r="D45" s="79" t="s">
        <v>24</v>
      </c>
      <c r="E45" s="75">
        <v>2301400</v>
      </c>
      <c r="F45" s="149" t="s">
        <v>54</v>
      </c>
      <c r="G45" s="114">
        <v>43096</v>
      </c>
      <c r="H45" s="115">
        <v>1745</v>
      </c>
      <c r="I45" s="22">
        <v>0</v>
      </c>
      <c r="J45" s="170">
        <v>0</v>
      </c>
      <c r="K45" s="35">
        <v>45</v>
      </c>
      <c r="L45" s="170">
        <v>9098.1</v>
      </c>
      <c r="M45" s="35">
        <v>0</v>
      </c>
      <c r="N45" s="170">
        <v>0</v>
      </c>
      <c r="O45" s="156">
        <f t="shared" ref="O45:P52" si="2">I45+K45-M45</f>
        <v>45</v>
      </c>
      <c r="P45" s="172">
        <f t="shared" si="2"/>
        <v>9098.1</v>
      </c>
      <c r="Q45" s="138"/>
      <c r="R45" s="138"/>
    </row>
    <row r="46" spans="1:18" s="62" customFormat="1" ht="26.25" customHeight="1">
      <c r="A46" s="59"/>
      <c r="B46" s="60"/>
      <c r="C46" s="60"/>
      <c r="D46" s="79" t="s">
        <v>24</v>
      </c>
      <c r="E46" s="75">
        <v>2301400</v>
      </c>
      <c r="F46" s="149" t="s">
        <v>44</v>
      </c>
      <c r="G46" s="114">
        <v>43164</v>
      </c>
      <c r="H46" s="115">
        <v>426</v>
      </c>
      <c r="I46" s="22">
        <v>0</v>
      </c>
      <c r="J46" s="170">
        <v>0</v>
      </c>
      <c r="K46" s="35">
        <v>50</v>
      </c>
      <c r="L46" s="170">
        <v>10109</v>
      </c>
      <c r="M46" s="35">
        <v>0</v>
      </c>
      <c r="N46" s="170">
        <v>0</v>
      </c>
      <c r="O46" s="156">
        <f t="shared" si="2"/>
        <v>50</v>
      </c>
      <c r="P46" s="172">
        <f t="shared" si="2"/>
        <v>10109</v>
      </c>
      <c r="Q46" s="61"/>
      <c r="R46" s="61"/>
    </row>
    <row r="47" spans="1:18" s="62" customFormat="1" ht="26.25" customHeight="1">
      <c r="A47" s="59"/>
      <c r="B47" s="60"/>
      <c r="C47" s="60"/>
      <c r="D47" s="79" t="s">
        <v>24</v>
      </c>
      <c r="E47" s="75">
        <v>2301400</v>
      </c>
      <c r="F47" s="149" t="s">
        <v>44</v>
      </c>
      <c r="G47" s="114">
        <v>43145</v>
      </c>
      <c r="H47" s="115">
        <v>260</v>
      </c>
      <c r="I47" s="22">
        <v>0</v>
      </c>
      <c r="J47" s="170">
        <v>0</v>
      </c>
      <c r="K47" s="35">
        <v>110</v>
      </c>
      <c r="L47" s="170">
        <v>22239.8</v>
      </c>
      <c r="M47" s="35">
        <v>0</v>
      </c>
      <c r="N47" s="170">
        <v>0</v>
      </c>
      <c r="O47" s="156">
        <f t="shared" si="2"/>
        <v>110</v>
      </c>
      <c r="P47" s="172">
        <f t="shared" si="2"/>
        <v>22239.8</v>
      </c>
      <c r="Q47" s="61"/>
      <c r="R47" s="61"/>
    </row>
    <row r="48" spans="1:18" s="62" customFormat="1" ht="26.25" customHeight="1">
      <c r="A48" s="59"/>
      <c r="B48" s="60"/>
      <c r="C48" s="60"/>
      <c r="D48" s="79" t="s">
        <v>24</v>
      </c>
      <c r="E48" s="75">
        <v>2301400</v>
      </c>
      <c r="F48" s="149" t="s">
        <v>44</v>
      </c>
      <c r="G48" s="114">
        <v>43182</v>
      </c>
      <c r="H48" s="115">
        <v>546</v>
      </c>
      <c r="I48" s="22">
        <v>0</v>
      </c>
      <c r="J48" s="170">
        <v>0</v>
      </c>
      <c r="K48" s="35">
        <v>105</v>
      </c>
      <c r="L48" s="170">
        <v>21228.9</v>
      </c>
      <c r="M48" s="35">
        <v>0</v>
      </c>
      <c r="N48" s="170">
        <v>0</v>
      </c>
      <c r="O48" s="156">
        <f t="shared" si="2"/>
        <v>105</v>
      </c>
      <c r="P48" s="172">
        <f t="shared" si="2"/>
        <v>21228.9</v>
      </c>
      <c r="Q48" s="61"/>
      <c r="R48" s="61"/>
    </row>
    <row r="49" spans="1:18" s="62" customFormat="1" ht="26.25" customHeight="1">
      <c r="A49" s="59"/>
      <c r="B49" s="60"/>
      <c r="C49" s="60"/>
      <c r="D49" s="79" t="s">
        <v>24</v>
      </c>
      <c r="E49" s="75">
        <v>2301400</v>
      </c>
      <c r="F49" s="149" t="s">
        <v>44</v>
      </c>
      <c r="G49" s="114">
        <v>43201</v>
      </c>
      <c r="H49" s="115">
        <v>659</v>
      </c>
      <c r="I49" s="22">
        <v>0</v>
      </c>
      <c r="J49" s="170">
        <v>0</v>
      </c>
      <c r="K49" s="35">
        <v>80</v>
      </c>
      <c r="L49" s="170">
        <v>16174.4</v>
      </c>
      <c r="M49" s="35">
        <v>0</v>
      </c>
      <c r="N49" s="170">
        <v>0</v>
      </c>
      <c r="O49" s="156">
        <f t="shared" si="2"/>
        <v>80</v>
      </c>
      <c r="P49" s="172">
        <f t="shared" si="2"/>
        <v>16174.4</v>
      </c>
      <c r="Q49" s="61"/>
      <c r="R49" s="61"/>
    </row>
    <row r="50" spans="1:18" s="62" customFormat="1" ht="26.25" customHeight="1">
      <c r="A50" s="59"/>
      <c r="B50" s="60"/>
      <c r="C50" s="60"/>
      <c r="D50" s="79" t="s">
        <v>24</v>
      </c>
      <c r="E50" s="75">
        <v>2301400</v>
      </c>
      <c r="F50" s="149" t="s">
        <v>44</v>
      </c>
      <c r="G50" s="114">
        <v>43222</v>
      </c>
      <c r="H50" s="115">
        <v>834</v>
      </c>
      <c r="I50" s="35">
        <v>0</v>
      </c>
      <c r="J50" s="170">
        <v>0</v>
      </c>
      <c r="K50" s="35">
        <v>95</v>
      </c>
      <c r="L50" s="170">
        <v>19207.099999999999</v>
      </c>
      <c r="M50" s="35">
        <v>0</v>
      </c>
      <c r="N50" s="170">
        <v>0</v>
      </c>
      <c r="O50" s="156">
        <f t="shared" si="2"/>
        <v>95</v>
      </c>
      <c r="P50" s="172">
        <f t="shared" si="2"/>
        <v>19207.099999999999</v>
      </c>
      <c r="Q50" s="61"/>
      <c r="R50" s="61"/>
    </row>
    <row r="51" spans="1:18" s="62" customFormat="1" ht="26.25" customHeight="1">
      <c r="A51" s="59"/>
      <c r="B51" s="60"/>
      <c r="C51" s="60"/>
      <c r="D51" s="79" t="s">
        <v>24</v>
      </c>
      <c r="E51" s="75">
        <v>2301400</v>
      </c>
      <c r="F51" s="149" t="s">
        <v>44</v>
      </c>
      <c r="G51" s="114">
        <v>43244</v>
      </c>
      <c r="H51" s="115">
        <v>1006</v>
      </c>
      <c r="I51" s="35">
        <v>0</v>
      </c>
      <c r="J51" s="170">
        <v>0</v>
      </c>
      <c r="K51" s="35">
        <v>20</v>
      </c>
      <c r="L51" s="170">
        <v>3920</v>
      </c>
      <c r="M51" s="35">
        <v>0</v>
      </c>
      <c r="N51" s="170">
        <v>0</v>
      </c>
      <c r="O51" s="156">
        <f t="shared" si="2"/>
        <v>20</v>
      </c>
      <c r="P51" s="172">
        <f t="shared" si="2"/>
        <v>3920</v>
      </c>
      <c r="Q51" s="61"/>
      <c r="R51" s="61"/>
    </row>
    <row r="52" spans="1:18" s="62" customFormat="1" ht="26.25" customHeight="1">
      <c r="A52" s="59"/>
      <c r="B52" s="60"/>
      <c r="C52" s="60"/>
      <c r="D52" s="79" t="s">
        <v>24</v>
      </c>
      <c r="E52" s="75">
        <v>2301400</v>
      </c>
      <c r="F52" s="149" t="s">
        <v>44</v>
      </c>
      <c r="G52" s="114">
        <v>43230</v>
      </c>
      <c r="H52" s="115">
        <v>877</v>
      </c>
      <c r="I52" s="35">
        <v>0</v>
      </c>
      <c r="J52" s="170">
        <v>0</v>
      </c>
      <c r="K52" s="35">
        <v>225</v>
      </c>
      <c r="L52" s="170">
        <v>45490.5</v>
      </c>
      <c r="M52" s="35">
        <v>0</v>
      </c>
      <c r="N52" s="170">
        <v>0</v>
      </c>
      <c r="O52" s="156">
        <f t="shared" si="2"/>
        <v>225</v>
      </c>
      <c r="P52" s="172">
        <f t="shared" si="2"/>
        <v>45490.5</v>
      </c>
      <c r="Q52" s="61"/>
      <c r="R52" s="61"/>
    </row>
    <row r="53" spans="1:18" s="134" customFormat="1" ht="27" customHeight="1">
      <c r="A53" s="131"/>
      <c r="B53" s="132"/>
      <c r="C53" s="60"/>
      <c r="D53" s="79" t="s">
        <v>24</v>
      </c>
      <c r="E53" s="75">
        <v>2301400</v>
      </c>
      <c r="F53" s="51" t="s">
        <v>52</v>
      </c>
      <c r="G53" s="114">
        <v>43087</v>
      </c>
      <c r="H53" s="115">
        <v>1625</v>
      </c>
      <c r="I53" s="22">
        <v>0</v>
      </c>
      <c r="J53" s="170">
        <v>0</v>
      </c>
      <c r="K53" s="35">
        <v>5</v>
      </c>
      <c r="L53" s="170">
        <v>1010.9</v>
      </c>
      <c r="M53" s="35">
        <v>5</v>
      </c>
      <c r="N53" s="170">
        <v>1010.9</v>
      </c>
      <c r="O53" s="35">
        <f t="shared" si="1"/>
        <v>0</v>
      </c>
      <c r="P53" s="170">
        <f t="shared" si="1"/>
        <v>0</v>
      </c>
      <c r="Q53" s="133"/>
      <c r="R53" s="133"/>
    </row>
    <row r="54" spans="1:18" s="134" customFormat="1" ht="27" customHeight="1">
      <c r="A54" s="131"/>
      <c r="B54" s="132"/>
      <c r="C54" s="60"/>
      <c r="D54" s="79" t="s">
        <v>24</v>
      </c>
      <c r="E54" s="75">
        <v>2301400</v>
      </c>
      <c r="F54" s="53" t="s">
        <v>52</v>
      </c>
      <c r="G54" s="114">
        <v>43082</v>
      </c>
      <c r="H54" s="115">
        <v>1583</v>
      </c>
      <c r="I54" s="22">
        <v>0</v>
      </c>
      <c r="J54" s="170">
        <v>0</v>
      </c>
      <c r="K54" s="35">
        <v>490</v>
      </c>
      <c r="L54" s="170">
        <v>99068.2</v>
      </c>
      <c r="M54" s="35">
        <f>135+130</f>
        <v>265</v>
      </c>
      <c r="N54" s="170">
        <f>27294.3+26283.4</f>
        <v>53577.7</v>
      </c>
      <c r="O54" s="156">
        <f t="shared" si="1"/>
        <v>225</v>
      </c>
      <c r="P54" s="172">
        <f t="shared" si="1"/>
        <v>45490.5</v>
      </c>
      <c r="Q54" s="133"/>
      <c r="R54" s="133"/>
    </row>
    <row r="55" spans="1:18" s="139" customFormat="1" ht="27" customHeight="1">
      <c r="A55" s="136"/>
      <c r="B55" s="137"/>
      <c r="C55" s="60"/>
      <c r="D55" s="79" t="s">
        <v>24</v>
      </c>
      <c r="E55" s="75">
        <v>2301400</v>
      </c>
      <c r="F55" s="53" t="s">
        <v>52</v>
      </c>
      <c r="G55" s="114">
        <v>43096</v>
      </c>
      <c r="H55" s="115">
        <v>1745</v>
      </c>
      <c r="I55" s="22">
        <v>0</v>
      </c>
      <c r="J55" s="170">
        <v>0</v>
      </c>
      <c r="K55" s="35">
        <v>195</v>
      </c>
      <c r="L55" s="170">
        <v>39425.1</v>
      </c>
      <c r="M55" s="35">
        <v>0</v>
      </c>
      <c r="N55" s="170">
        <v>0</v>
      </c>
      <c r="O55" s="156">
        <f t="shared" si="1"/>
        <v>195</v>
      </c>
      <c r="P55" s="172">
        <f t="shared" si="1"/>
        <v>39425.1</v>
      </c>
      <c r="Q55" s="138"/>
      <c r="R55" s="138"/>
    </row>
    <row r="56" spans="1:18" s="62" customFormat="1" ht="26.25" customHeight="1">
      <c r="A56" s="59"/>
      <c r="B56" s="60"/>
      <c r="C56" s="60"/>
      <c r="D56" s="79" t="s">
        <v>24</v>
      </c>
      <c r="E56" s="75">
        <v>2301400</v>
      </c>
      <c r="F56" s="53" t="s">
        <v>65</v>
      </c>
      <c r="G56" s="114">
        <v>43164</v>
      </c>
      <c r="H56" s="115">
        <v>426</v>
      </c>
      <c r="I56" s="22">
        <v>0</v>
      </c>
      <c r="J56" s="170">
        <v>0</v>
      </c>
      <c r="K56" s="35">
        <v>170</v>
      </c>
      <c r="L56" s="170">
        <v>34370.6</v>
      </c>
      <c r="M56" s="35">
        <v>0</v>
      </c>
      <c r="N56" s="170">
        <v>0</v>
      </c>
      <c r="O56" s="156">
        <f t="shared" si="1"/>
        <v>170</v>
      </c>
      <c r="P56" s="172">
        <f t="shared" si="1"/>
        <v>34370.6</v>
      </c>
      <c r="Q56" s="61"/>
      <c r="R56" s="61"/>
    </row>
    <row r="57" spans="1:18" s="62" customFormat="1" ht="26.25" customHeight="1">
      <c r="A57" s="59"/>
      <c r="B57" s="60"/>
      <c r="C57" s="60"/>
      <c r="D57" s="79" t="s">
        <v>24</v>
      </c>
      <c r="E57" s="75">
        <v>2301400</v>
      </c>
      <c r="F57" s="53" t="s">
        <v>65</v>
      </c>
      <c r="G57" s="114">
        <v>43143</v>
      </c>
      <c r="H57" s="115">
        <v>234</v>
      </c>
      <c r="I57" s="22">
        <v>0</v>
      </c>
      <c r="J57" s="170">
        <v>0</v>
      </c>
      <c r="K57" s="35">
        <v>320</v>
      </c>
      <c r="L57" s="170">
        <v>64697.599999999999</v>
      </c>
      <c r="M57" s="35">
        <v>0</v>
      </c>
      <c r="N57" s="170">
        <v>0</v>
      </c>
      <c r="O57" s="156">
        <f t="shared" si="1"/>
        <v>320</v>
      </c>
      <c r="P57" s="172">
        <f t="shared" si="1"/>
        <v>64697.599999999999</v>
      </c>
      <c r="Q57" s="61"/>
      <c r="R57" s="61"/>
    </row>
    <row r="58" spans="1:18" s="62" customFormat="1" ht="26.25" customHeight="1">
      <c r="A58" s="59"/>
      <c r="B58" s="60"/>
      <c r="C58" s="60"/>
      <c r="D58" s="79" t="s">
        <v>24</v>
      </c>
      <c r="E58" s="75">
        <v>2301400</v>
      </c>
      <c r="F58" s="53" t="s">
        <v>65</v>
      </c>
      <c r="G58" s="114">
        <v>43143</v>
      </c>
      <c r="H58" s="115">
        <v>234</v>
      </c>
      <c r="I58" s="22">
        <v>0</v>
      </c>
      <c r="J58" s="170">
        <v>0</v>
      </c>
      <c r="K58" s="35">
        <v>15</v>
      </c>
      <c r="L58" s="170">
        <v>3032.7</v>
      </c>
      <c r="M58" s="35">
        <v>0</v>
      </c>
      <c r="N58" s="170">
        <v>0</v>
      </c>
      <c r="O58" s="156">
        <f t="shared" si="1"/>
        <v>15</v>
      </c>
      <c r="P58" s="172">
        <f t="shared" si="1"/>
        <v>3032.7</v>
      </c>
      <c r="Q58" s="61"/>
      <c r="R58" s="61"/>
    </row>
    <row r="59" spans="1:18" s="62" customFormat="1" ht="27" customHeight="1">
      <c r="A59" s="59"/>
      <c r="B59" s="60"/>
      <c r="C59" s="60"/>
      <c r="D59" s="79" t="s">
        <v>24</v>
      </c>
      <c r="E59" s="75">
        <v>2301400</v>
      </c>
      <c r="F59" s="53" t="s">
        <v>65</v>
      </c>
      <c r="G59" s="114">
        <v>43159</v>
      </c>
      <c r="H59" s="115">
        <v>356</v>
      </c>
      <c r="I59" s="22">
        <v>0</v>
      </c>
      <c r="J59" s="170">
        <v>0</v>
      </c>
      <c r="K59" s="35">
        <v>170</v>
      </c>
      <c r="L59" s="170">
        <v>34370.6</v>
      </c>
      <c r="M59" s="35">
        <v>0</v>
      </c>
      <c r="N59" s="170">
        <v>0</v>
      </c>
      <c r="O59" s="156">
        <f t="shared" si="1"/>
        <v>170</v>
      </c>
      <c r="P59" s="172">
        <f t="shared" si="1"/>
        <v>34370.6</v>
      </c>
      <c r="Q59" s="61"/>
      <c r="R59" s="61"/>
    </row>
    <row r="60" spans="1:18" s="62" customFormat="1" ht="27" customHeight="1">
      <c r="A60" s="59"/>
      <c r="B60" s="60"/>
      <c r="C60" s="60"/>
      <c r="D60" s="79" t="s">
        <v>24</v>
      </c>
      <c r="E60" s="75">
        <v>2301400</v>
      </c>
      <c r="F60" s="53" t="s">
        <v>65</v>
      </c>
      <c r="G60" s="114">
        <v>43145</v>
      </c>
      <c r="H60" s="115">
        <v>260</v>
      </c>
      <c r="I60" s="22">
        <v>0</v>
      </c>
      <c r="J60" s="170">
        <v>0</v>
      </c>
      <c r="K60" s="35">
        <v>665</v>
      </c>
      <c r="L60" s="170">
        <v>134449.70000000001</v>
      </c>
      <c r="M60" s="35">
        <v>0</v>
      </c>
      <c r="N60" s="170">
        <v>0</v>
      </c>
      <c r="O60" s="156">
        <f t="shared" si="1"/>
        <v>665</v>
      </c>
      <c r="P60" s="172">
        <f t="shared" si="1"/>
        <v>134449.70000000001</v>
      </c>
      <c r="Q60" s="61"/>
      <c r="R60" s="61"/>
    </row>
    <row r="61" spans="1:18" s="62" customFormat="1" ht="26.25" customHeight="1">
      <c r="A61" s="59"/>
      <c r="B61" s="60"/>
      <c r="C61" s="60"/>
      <c r="D61" s="79" t="s">
        <v>24</v>
      </c>
      <c r="E61" s="75">
        <v>2301400</v>
      </c>
      <c r="F61" s="53" t="s">
        <v>65</v>
      </c>
      <c r="G61" s="114">
        <v>43116</v>
      </c>
      <c r="H61" s="115">
        <v>68</v>
      </c>
      <c r="I61" s="22">
        <v>0</v>
      </c>
      <c r="J61" s="170">
        <v>0</v>
      </c>
      <c r="K61" s="35">
        <v>335</v>
      </c>
      <c r="L61" s="170">
        <v>67730.3</v>
      </c>
      <c r="M61" s="35">
        <v>0</v>
      </c>
      <c r="N61" s="170">
        <v>0</v>
      </c>
      <c r="O61" s="156">
        <f t="shared" si="1"/>
        <v>335</v>
      </c>
      <c r="P61" s="172">
        <f t="shared" si="1"/>
        <v>67730.3</v>
      </c>
      <c r="Q61" s="61"/>
      <c r="R61" s="61"/>
    </row>
    <row r="62" spans="1:18" s="62" customFormat="1" ht="26.25" customHeight="1">
      <c r="A62" s="59"/>
      <c r="B62" s="60"/>
      <c r="C62" s="60"/>
      <c r="D62" s="79" t="s">
        <v>24</v>
      </c>
      <c r="E62" s="75">
        <v>2301400</v>
      </c>
      <c r="F62" s="53" t="s">
        <v>65</v>
      </c>
      <c r="G62" s="114">
        <v>42761</v>
      </c>
      <c r="H62" s="115">
        <v>135</v>
      </c>
      <c r="I62" s="22">
        <v>0</v>
      </c>
      <c r="J62" s="170">
        <v>0</v>
      </c>
      <c r="K62" s="35">
        <v>155</v>
      </c>
      <c r="L62" s="170">
        <v>31337.9</v>
      </c>
      <c r="M62" s="35">
        <v>0</v>
      </c>
      <c r="N62" s="170">
        <v>0</v>
      </c>
      <c r="O62" s="156">
        <f t="shared" si="1"/>
        <v>155</v>
      </c>
      <c r="P62" s="172">
        <f t="shared" si="1"/>
        <v>31337.9</v>
      </c>
      <c r="Q62" s="61"/>
      <c r="R62" s="61"/>
    </row>
    <row r="63" spans="1:18" s="62" customFormat="1" ht="26.25" customHeight="1">
      <c r="A63" s="59"/>
      <c r="B63" s="60"/>
      <c r="C63" s="60"/>
      <c r="D63" s="79" t="s">
        <v>24</v>
      </c>
      <c r="E63" s="75">
        <v>2301400</v>
      </c>
      <c r="F63" s="53" t="s">
        <v>65</v>
      </c>
      <c r="G63" s="114">
        <v>43119</v>
      </c>
      <c r="H63" s="115">
        <v>108</v>
      </c>
      <c r="I63" s="22">
        <v>0</v>
      </c>
      <c r="J63" s="170">
        <v>0</v>
      </c>
      <c r="K63" s="35">
        <v>340</v>
      </c>
      <c r="L63" s="170">
        <v>68741.2</v>
      </c>
      <c r="M63" s="35">
        <v>0</v>
      </c>
      <c r="N63" s="170">
        <v>0</v>
      </c>
      <c r="O63" s="156">
        <f t="shared" si="1"/>
        <v>340</v>
      </c>
      <c r="P63" s="172">
        <f t="shared" si="1"/>
        <v>68741.2</v>
      </c>
      <c r="Q63" s="61"/>
      <c r="R63" s="61"/>
    </row>
    <row r="64" spans="1:18" s="62" customFormat="1" ht="26.25" customHeight="1">
      <c r="A64" s="59"/>
      <c r="B64" s="60"/>
      <c r="C64" s="60"/>
      <c r="D64" s="79" t="s">
        <v>24</v>
      </c>
      <c r="E64" s="75">
        <v>2301400</v>
      </c>
      <c r="F64" s="53" t="s">
        <v>65</v>
      </c>
      <c r="G64" s="114">
        <v>43201</v>
      </c>
      <c r="H64" s="115">
        <v>659</v>
      </c>
      <c r="I64" s="22">
        <v>0</v>
      </c>
      <c r="J64" s="170">
        <v>0</v>
      </c>
      <c r="K64" s="35">
        <v>245</v>
      </c>
      <c r="L64" s="170">
        <v>49534.1</v>
      </c>
      <c r="M64" s="35">
        <v>0</v>
      </c>
      <c r="N64" s="170">
        <v>0</v>
      </c>
      <c r="O64" s="156">
        <f t="shared" si="1"/>
        <v>245</v>
      </c>
      <c r="P64" s="172">
        <f t="shared" si="1"/>
        <v>49534.1</v>
      </c>
      <c r="Q64" s="61"/>
      <c r="R64" s="61"/>
    </row>
    <row r="65" spans="1:18" s="62" customFormat="1" ht="26.25" customHeight="1">
      <c r="A65" s="59"/>
      <c r="B65" s="60"/>
      <c r="C65" s="60"/>
      <c r="D65" s="79" t="s">
        <v>24</v>
      </c>
      <c r="E65" s="75">
        <v>2301400</v>
      </c>
      <c r="F65" s="53" t="s">
        <v>65</v>
      </c>
      <c r="G65" s="114">
        <v>43222</v>
      </c>
      <c r="H65" s="115">
        <v>834</v>
      </c>
      <c r="I65" s="22">
        <v>0</v>
      </c>
      <c r="J65" s="170">
        <v>0</v>
      </c>
      <c r="K65" s="35">
        <v>555</v>
      </c>
      <c r="L65" s="170">
        <v>112209.9</v>
      </c>
      <c r="M65" s="35">
        <v>0</v>
      </c>
      <c r="N65" s="170">
        <v>0</v>
      </c>
      <c r="O65" s="156">
        <f t="shared" si="1"/>
        <v>555</v>
      </c>
      <c r="P65" s="172">
        <f t="shared" si="1"/>
        <v>112209.9</v>
      </c>
      <c r="Q65" s="61"/>
      <c r="R65" s="61"/>
    </row>
    <row r="66" spans="1:18" s="62" customFormat="1" ht="26.25" customHeight="1">
      <c r="A66" s="59"/>
      <c r="B66" s="60"/>
      <c r="C66" s="60"/>
      <c r="D66" s="79" t="s">
        <v>24</v>
      </c>
      <c r="E66" s="75">
        <v>2301400</v>
      </c>
      <c r="F66" s="53" t="s">
        <v>65</v>
      </c>
      <c r="G66" s="114">
        <v>43244</v>
      </c>
      <c r="H66" s="115">
        <v>1006</v>
      </c>
      <c r="I66" s="22">
        <v>0</v>
      </c>
      <c r="J66" s="170">
        <v>0</v>
      </c>
      <c r="K66" s="35">
        <v>45</v>
      </c>
      <c r="L66" s="170">
        <v>8820</v>
      </c>
      <c r="M66" s="35">
        <v>0</v>
      </c>
      <c r="N66" s="170">
        <v>0</v>
      </c>
      <c r="O66" s="156">
        <f t="shared" si="1"/>
        <v>45</v>
      </c>
      <c r="P66" s="172">
        <f t="shared" si="1"/>
        <v>8820</v>
      </c>
      <c r="Q66" s="61"/>
      <c r="R66" s="61"/>
    </row>
    <row r="67" spans="1:18" s="62" customFormat="1" ht="26.25" customHeight="1">
      <c r="A67" s="59"/>
      <c r="B67" s="60"/>
      <c r="C67" s="60"/>
      <c r="D67" s="79" t="s">
        <v>24</v>
      </c>
      <c r="E67" s="75">
        <v>2301400</v>
      </c>
      <c r="F67" s="53" t="s">
        <v>65</v>
      </c>
      <c r="G67" s="114">
        <v>43244</v>
      </c>
      <c r="H67" s="115">
        <v>1006</v>
      </c>
      <c r="I67" s="22">
        <v>0</v>
      </c>
      <c r="J67" s="170">
        <v>0</v>
      </c>
      <c r="K67" s="35">
        <v>55</v>
      </c>
      <c r="L67" s="170">
        <v>11119.9</v>
      </c>
      <c r="M67" s="35">
        <v>0</v>
      </c>
      <c r="N67" s="170">
        <v>0</v>
      </c>
      <c r="O67" s="156">
        <f t="shared" si="1"/>
        <v>55</v>
      </c>
      <c r="P67" s="172">
        <f t="shared" si="1"/>
        <v>11119.9</v>
      </c>
      <c r="Q67" s="61"/>
      <c r="R67" s="61"/>
    </row>
    <row r="68" spans="1:18" s="62" customFormat="1" ht="26.25" customHeight="1">
      <c r="A68" s="59"/>
      <c r="B68" s="60"/>
      <c r="C68" s="60"/>
      <c r="D68" s="79" t="s">
        <v>24</v>
      </c>
      <c r="E68" s="75">
        <v>2301400</v>
      </c>
      <c r="F68" s="53" t="s">
        <v>65</v>
      </c>
      <c r="G68" s="114">
        <v>43230</v>
      </c>
      <c r="H68" s="115">
        <v>877</v>
      </c>
      <c r="I68" s="22">
        <v>0</v>
      </c>
      <c r="J68" s="170">
        <v>0</v>
      </c>
      <c r="K68" s="35">
        <v>210</v>
      </c>
      <c r="L68" s="170">
        <v>42457.8</v>
      </c>
      <c r="M68" s="35">
        <v>0</v>
      </c>
      <c r="N68" s="170">
        <v>0</v>
      </c>
      <c r="O68" s="156">
        <f t="shared" si="1"/>
        <v>210</v>
      </c>
      <c r="P68" s="172">
        <f t="shared" si="1"/>
        <v>42457.8</v>
      </c>
      <c r="Q68" s="61"/>
      <c r="R68" s="61"/>
    </row>
    <row r="69" spans="1:18" s="62" customFormat="1" ht="26.25" customHeight="1">
      <c r="A69" s="59"/>
      <c r="B69" s="60"/>
      <c r="C69" s="60"/>
      <c r="D69" s="79" t="s">
        <v>24</v>
      </c>
      <c r="E69" s="75">
        <v>2301400</v>
      </c>
      <c r="F69" s="53" t="s">
        <v>65</v>
      </c>
      <c r="G69" s="114">
        <v>43255</v>
      </c>
      <c r="H69" s="115">
        <v>1053</v>
      </c>
      <c r="I69" s="22">
        <v>0</v>
      </c>
      <c r="J69" s="170">
        <v>0</v>
      </c>
      <c r="K69" s="35">
        <v>105</v>
      </c>
      <c r="L69" s="170">
        <v>21228.9</v>
      </c>
      <c r="M69" s="35">
        <v>0</v>
      </c>
      <c r="N69" s="170">
        <v>0</v>
      </c>
      <c r="O69" s="156">
        <f t="shared" si="1"/>
        <v>105</v>
      </c>
      <c r="P69" s="172">
        <f t="shared" si="1"/>
        <v>21228.9</v>
      </c>
      <c r="Q69" s="61"/>
      <c r="R69" s="61"/>
    </row>
    <row r="70" spans="1:18" s="62" customFormat="1" ht="26.25" customHeight="1">
      <c r="A70" s="59"/>
      <c r="B70" s="60"/>
      <c r="C70" s="60"/>
      <c r="D70" s="79" t="s">
        <v>24</v>
      </c>
      <c r="E70" s="75">
        <v>2301400</v>
      </c>
      <c r="F70" s="51" t="s">
        <v>68</v>
      </c>
      <c r="G70" s="114">
        <v>43052</v>
      </c>
      <c r="H70" s="115">
        <v>1405</v>
      </c>
      <c r="I70" s="22">
        <v>0</v>
      </c>
      <c r="J70" s="170">
        <v>0</v>
      </c>
      <c r="K70" s="35">
        <v>125</v>
      </c>
      <c r="L70" s="170">
        <v>26255</v>
      </c>
      <c r="M70" s="35">
        <f>63+62</f>
        <v>125</v>
      </c>
      <c r="N70" s="170">
        <v>26255</v>
      </c>
      <c r="O70" s="35">
        <f t="shared" si="1"/>
        <v>0</v>
      </c>
      <c r="P70" s="170">
        <f t="shared" si="1"/>
        <v>0</v>
      </c>
      <c r="Q70" s="61"/>
      <c r="R70" s="61"/>
    </row>
    <row r="71" spans="1:18" s="62" customFormat="1" ht="26.25" customHeight="1">
      <c r="A71" s="59"/>
      <c r="B71" s="60"/>
      <c r="C71" s="60"/>
      <c r="D71" s="79" t="s">
        <v>24</v>
      </c>
      <c r="E71" s="75">
        <v>2301400</v>
      </c>
      <c r="F71" s="51" t="s">
        <v>68</v>
      </c>
      <c r="G71" s="114">
        <v>43047</v>
      </c>
      <c r="H71" s="115">
        <v>1381</v>
      </c>
      <c r="I71" s="22">
        <v>0</v>
      </c>
      <c r="J71" s="170">
        <v>0</v>
      </c>
      <c r="K71" s="35">
        <v>80</v>
      </c>
      <c r="L71" s="170">
        <v>16803.2</v>
      </c>
      <c r="M71" s="35">
        <v>80</v>
      </c>
      <c r="N71" s="170">
        <v>16803.2</v>
      </c>
      <c r="O71" s="35">
        <f t="shared" si="1"/>
        <v>0</v>
      </c>
      <c r="P71" s="170">
        <f t="shared" si="1"/>
        <v>0</v>
      </c>
      <c r="Q71" s="61"/>
      <c r="R71" s="61"/>
    </row>
    <row r="72" spans="1:18" s="62" customFormat="1" ht="26.25" customHeight="1">
      <c r="A72" s="59"/>
      <c r="B72" s="60"/>
      <c r="C72" s="60"/>
      <c r="D72" s="79" t="s">
        <v>24</v>
      </c>
      <c r="E72" s="75">
        <v>2301400</v>
      </c>
      <c r="F72" s="51" t="s">
        <v>68</v>
      </c>
      <c r="G72" s="114">
        <v>43182</v>
      </c>
      <c r="H72" s="115">
        <v>546</v>
      </c>
      <c r="I72" s="22">
        <v>0</v>
      </c>
      <c r="J72" s="170">
        <v>0</v>
      </c>
      <c r="K72" s="35">
        <v>10</v>
      </c>
      <c r="L72" s="170">
        <v>2038.7</v>
      </c>
      <c r="M72" s="35">
        <v>10</v>
      </c>
      <c r="N72" s="170">
        <v>2038.7</v>
      </c>
      <c r="O72" s="35">
        <f t="shared" si="1"/>
        <v>0</v>
      </c>
      <c r="P72" s="170">
        <f t="shared" si="1"/>
        <v>0</v>
      </c>
      <c r="Q72" s="61"/>
      <c r="R72" s="61"/>
    </row>
    <row r="73" spans="1:18" s="62" customFormat="1" ht="26.25" customHeight="1">
      <c r="A73" s="59"/>
      <c r="B73" s="60"/>
      <c r="C73" s="60"/>
      <c r="D73" s="79" t="s">
        <v>24</v>
      </c>
      <c r="E73" s="75">
        <v>2301400</v>
      </c>
      <c r="F73" s="162" t="s">
        <v>68</v>
      </c>
      <c r="G73" s="114">
        <v>43222</v>
      </c>
      <c r="H73" s="115">
        <v>834</v>
      </c>
      <c r="I73" s="22">
        <v>0</v>
      </c>
      <c r="J73" s="170">
        <v>0</v>
      </c>
      <c r="K73" s="35">
        <v>10</v>
      </c>
      <c r="L73" s="170">
        <v>2100.4</v>
      </c>
      <c r="M73" s="35">
        <v>0</v>
      </c>
      <c r="N73" s="170">
        <v>0</v>
      </c>
      <c r="O73" s="156">
        <f t="shared" si="1"/>
        <v>10</v>
      </c>
      <c r="P73" s="172">
        <f t="shared" si="1"/>
        <v>2100.4</v>
      </c>
      <c r="Q73" s="61"/>
      <c r="R73" s="61"/>
    </row>
    <row r="74" spans="1:18" s="62" customFormat="1" ht="26.25" customHeight="1">
      <c r="A74" s="59"/>
      <c r="B74" s="60"/>
      <c r="C74" s="60"/>
      <c r="D74" s="79" t="s">
        <v>24</v>
      </c>
      <c r="E74" s="75">
        <v>2301400</v>
      </c>
      <c r="F74" s="162" t="s">
        <v>68</v>
      </c>
      <c r="G74" s="114">
        <v>43244</v>
      </c>
      <c r="H74" s="115">
        <v>1006</v>
      </c>
      <c r="I74" s="22">
        <v>0</v>
      </c>
      <c r="J74" s="170">
        <v>0</v>
      </c>
      <c r="K74" s="35">
        <v>5</v>
      </c>
      <c r="L74" s="170">
        <v>1019.35</v>
      </c>
      <c r="M74" s="35">
        <v>0</v>
      </c>
      <c r="N74" s="170">
        <v>0</v>
      </c>
      <c r="O74" s="156">
        <f t="shared" si="1"/>
        <v>5</v>
      </c>
      <c r="P74" s="172">
        <f t="shared" si="1"/>
        <v>1019.35</v>
      </c>
      <c r="Q74" s="61"/>
      <c r="R74" s="61"/>
    </row>
    <row r="75" spans="1:18" s="134" customFormat="1" ht="25.5" customHeight="1">
      <c r="A75" s="131"/>
      <c r="B75" s="132"/>
      <c r="C75" s="60"/>
      <c r="D75" s="79" t="s">
        <v>24</v>
      </c>
      <c r="E75" s="75">
        <v>2301400</v>
      </c>
      <c r="F75" s="140" t="s">
        <v>55</v>
      </c>
      <c r="G75" s="114">
        <v>43082</v>
      </c>
      <c r="H75" s="115">
        <v>1583</v>
      </c>
      <c r="I75" s="22">
        <v>0</v>
      </c>
      <c r="J75" s="170">
        <v>0</v>
      </c>
      <c r="K75" s="35">
        <v>8</v>
      </c>
      <c r="L75" s="170">
        <v>2388</v>
      </c>
      <c r="M75" s="35">
        <v>0</v>
      </c>
      <c r="N75" s="170">
        <v>0</v>
      </c>
      <c r="O75" s="156">
        <f t="shared" si="1"/>
        <v>8</v>
      </c>
      <c r="P75" s="172">
        <f t="shared" si="1"/>
        <v>2388</v>
      </c>
      <c r="Q75" s="133"/>
      <c r="R75" s="133"/>
    </row>
    <row r="76" spans="1:18" s="62" customFormat="1" ht="25.5" customHeight="1">
      <c r="A76" s="59"/>
      <c r="B76" s="60"/>
      <c r="C76" s="60"/>
      <c r="D76" s="79" t="s">
        <v>24</v>
      </c>
      <c r="E76" s="75">
        <v>2301400</v>
      </c>
      <c r="F76" s="140" t="s">
        <v>55</v>
      </c>
      <c r="G76" s="114">
        <v>43164</v>
      </c>
      <c r="H76" s="115">
        <v>427</v>
      </c>
      <c r="I76" s="22">
        <v>0</v>
      </c>
      <c r="J76" s="170">
        <v>0</v>
      </c>
      <c r="K76" s="35">
        <v>34</v>
      </c>
      <c r="L76" s="170">
        <v>10149</v>
      </c>
      <c r="M76" s="35">
        <v>0</v>
      </c>
      <c r="N76" s="170">
        <v>0</v>
      </c>
      <c r="O76" s="156">
        <f t="shared" si="1"/>
        <v>34</v>
      </c>
      <c r="P76" s="172">
        <f t="shared" si="1"/>
        <v>10149</v>
      </c>
      <c r="Q76" s="61"/>
      <c r="R76" s="61"/>
    </row>
    <row r="77" spans="1:18" s="62" customFormat="1" ht="25.5" customHeight="1">
      <c r="A77" s="59"/>
      <c r="B77" s="60"/>
      <c r="C77" s="60"/>
      <c r="D77" s="79" t="s">
        <v>24</v>
      </c>
      <c r="E77" s="75">
        <v>2301400</v>
      </c>
      <c r="F77" s="140" t="s">
        <v>55</v>
      </c>
      <c r="G77" s="114">
        <v>43193</v>
      </c>
      <c r="H77" s="115">
        <v>613</v>
      </c>
      <c r="I77" s="22">
        <v>0</v>
      </c>
      <c r="J77" s="170">
        <v>0</v>
      </c>
      <c r="K77" s="35">
        <v>270</v>
      </c>
      <c r="L77" s="170">
        <v>80595</v>
      </c>
      <c r="M77" s="35">
        <v>0</v>
      </c>
      <c r="N77" s="170">
        <v>0</v>
      </c>
      <c r="O77" s="156">
        <f t="shared" si="1"/>
        <v>270</v>
      </c>
      <c r="P77" s="172">
        <f t="shared" si="1"/>
        <v>80595</v>
      </c>
      <c r="Q77" s="61"/>
      <c r="R77" s="61"/>
    </row>
    <row r="78" spans="1:18" s="62" customFormat="1" ht="25.5" customHeight="1">
      <c r="A78" s="59"/>
      <c r="B78" s="60"/>
      <c r="C78" s="60"/>
      <c r="D78" s="79" t="s">
        <v>24</v>
      </c>
      <c r="E78" s="75">
        <v>2301400</v>
      </c>
      <c r="F78" s="140" t="s">
        <v>55</v>
      </c>
      <c r="G78" s="114">
        <v>43193</v>
      </c>
      <c r="H78" s="115">
        <v>612</v>
      </c>
      <c r="I78" s="22">
        <v>0</v>
      </c>
      <c r="J78" s="170">
        <v>0</v>
      </c>
      <c r="K78" s="35">
        <v>40</v>
      </c>
      <c r="L78" s="170">
        <v>11940</v>
      </c>
      <c r="M78" s="35">
        <v>0</v>
      </c>
      <c r="N78" s="170">
        <v>0</v>
      </c>
      <c r="O78" s="156">
        <f t="shared" si="1"/>
        <v>40</v>
      </c>
      <c r="P78" s="172">
        <f t="shared" si="1"/>
        <v>11940</v>
      </c>
      <c r="Q78" s="61"/>
      <c r="R78" s="61"/>
    </row>
    <row r="79" spans="1:18" s="62" customFormat="1" ht="25.5" customHeight="1">
      <c r="A79" s="59"/>
      <c r="B79" s="60"/>
      <c r="C79" s="60"/>
      <c r="D79" s="79" t="s">
        <v>24</v>
      </c>
      <c r="E79" s="75">
        <v>2301400</v>
      </c>
      <c r="F79" s="173" t="s">
        <v>64</v>
      </c>
      <c r="G79" s="114">
        <v>43164</v>
      </c>
      <c r="H79" s="115">
        <v>427</v>
      </c>
      <c r="I79" s="22">
        <v>0</v>
      </c>
      <c r="J79" s="170">
        <v>0</v>
      </c>
      <c r="K79" s="35">
        <v>56</v>
      </c>
      <c r="L79" s="170">
        <v>16794.400000000001</v>
      </c>
      <c r="M79" s="35">
        <v>0</v>
      </c>
      <c r="N79" s="170">
        <v>0</v>
      </c>
      <c r="O79" s="156">
        <f t="shared" si="1"/>
        <v>56</v>
      </c>
      <c r="P79" s="172">
        <f t="shared" si="1"/>
        <v>16794.400000000001</v>
      </c>
      <c r="Q79" s="61"/>
      <c r="R79" s="61"/>
    </row>
    <row r="80" spans="1:18" s="62" customFormat="1" ht="25.5" customHeight="1">
      <c r="A80" s="59"/>
      <c r="B80" s="60"/>
      <c r="C80" s="60"/>
      <c r="D80" s="79" t="s">
        <v>24</v>
      </c>
      <c r="E80" s="75">
        <v>2301400</v>
      </c>
      <c r="F80" s="173" t="s">
        <v>64</v>
      </c>
      <c r="G80" s="114">
        <v>43193</v>
      </c>
      <c r="H80" s="115">
        <v>605</v>
      </c>
      <c r="I80" s="22">
        <v>0</v>
      </c>
      <c r="J80" s="170">
        <v>0</v>
      </c>
      <c r="K80" s="35">
        <v>510</v>
      </c>
      <c r="L80" s="170">
        <v>152949</v>
      </c>
      <c r="M80" s="35">
        <v>0</v>
      </c>
      <c r="N80" s="170">
        <v>0</v>
      </c>
      <c r="O80" s="156">
        <f t="shared" si="1"/>
        <v>510</v>
      </c>
      <c r="P80" s="172">
        <f t="shared" si="1"/>
        <v>152949</v>
      </c>
      <c r="Q80" s="61"/>
      <c r="R80" s="61"/>
    </row>
    <row r="81" spans="1:18" s="62" customFormat="1" ht="27.75" customHeight="1">
      <c r="A81" s="59"/>
      <c r="B81" s="60"/>
      <c r="C81" s="60"/>
      <c r="D81" s="79" t="s">
        <v>24</v>
      </c>
      <c r="E81" s="75">
        <v>2301400</v>
      </c>
      <c r="F81" s="51" t="s">
        <v>57</v>
      </c>
      <c r="G81" s="114">
        <v>43096</v>
      </c>
      <c r="H81" s="115">
        <v>1745</v>
      </c>
      <c r="I81" s="22">
        <v>0</v>
      </c>
      <c r="J81" s="170">
        <v>0</v>
      </c>
      <c r="K81" s="35">
        <v>6637</v>
      </c>
      <c r="L81" s="170">
        <v>102541.65</v>
      </c>
      <c r="M81" s="35">
        <f>180</f>
        <v>180</v>
      </c>
      <c r="N81" s="170">
        <f>2778.82</f>
        <v>2778.82</v>
      </c>
      <c r="O81" s="35">
        <f t="shared" si="1"/>
        <v>6457</v>
      </c>
      <c r="P81" s="170">
        <f t="shared" si="1"/>
        <v>99762.829999999987</v>
      </c>
      <c r="Q81" s="61"/>
      <c r="R81" s="61"/>
    </row>
    <row r="82" spans="1:18" s="62" customFormat="1" ht="27.75" customHeight="1">
      <c r="A82" s="59"/>
      <c r="B82" s="60"/>
      <c r="C82" s="60"/>
      <c r="D82" s="79" t="s">
        <v>24</v>
      </c>
      <c r="E82" s="75">
        <v>2301400</v>
      </c>
      <c r="F82" s="51" t="s">
        <v>57</v>
      </c>
      <c r="G82" s="114">
        <v>43222</v>
      </c>
      <c r="H82" s="115">
        <v>834</v>
      </c>
      <c r="I82" s="22">
        <v>0</v>
      </c>
      <c r="J82" s="170">
        <v>0</v>
      </c>
      <c r="K82" s="35">
        <v>144</v>
      </c>
      <c r="L82" s="170">
        <v>2142.7199999999998</v>
      </c>
      <c r="M82" s="35">
        <v>0</v>
      </c>
      <c r="N82" s="170">
        <v>0</v>
      </c>
      <c r="O82" s="35">
        <f t="shared" si="1"/>
        <v>144</v>
      </c>
      <c r="P82" s="170">
        <f t="shared" si="1"/>
        <v>2142.7199999999998</v>
      </c>
      <c r="Q82" s="61"/>
      <c r="R82" s="61"/>
    </row>
    <row r="83" spans="1:18" s="62" customFormat="1" ht="26.25" customHeight="1">
      <c r="A83" s="59"/>
      <c r="B83" s="60"/>
      <c r="C83" s="60"/>
      <c r="D83" s="79" t="s">
        <v>24</v>
      </c>
      <c r="E83" s="75">
        <v>2301400</v>
      </c>
      <c r="F83" s="178" t="s">
        <v>58</v>
      </c>
      <c r="G83" s="114">
        <v>43096</v>
      </c>
      <c r="H83" s="115">
        <v>1745</v>
      </c>
      <c r="I83" s="22">
        <v>0</v>
      </c>
      <c r="J83" s="170">
        <v>0</v>
      </c>
      <c r="K83" s="35">
        <v>4</v>
      </c>
      <c r="L83" s="170">
        <v>9062.24</v>
      </c>
      <c r="M83" s="35">
        <v>0</v>
      </c>
      <c r="N83" s="170">
        <v>0</v>
      </c>
      <c r="O83" s="156">
        <f t="shared" si="1"/>
        <v>4</v>
      </c>
      <c r="P83" s="170">
        <f t="shared" si="1"/>
        <v>9062.24</v>
      </c>
      <c r="Q83" s="61"/>
      <c r="R83" s="61"/>
    </row>
    <row r="84" spans="1:18" s="62" customFormat="1" ht="26.25" customHeight="1">
      <c r="A84" s="59"/>
      <c r="B84" s="60"/>
      <c r="C84" s="60"/>
      <c r="D84" s="79" t="s">
        <v>24</v>
      </c>
      <c r="E84" s="75">
        <v>2301400</v>
      </c>
      <c r="F84" s="178" t="s">
        <v>58</v>
      </c>
      <c r="G84" s="114">
        <v>43222</v>
      </c>
      <c r="H84" s="115">
        <v>834</v>
      </c>
      <c r="I84" s="22">
        <v>0</v>
      </c>
      <c r="J84" s="170">
        <v>0</v>
      </c>
      <c r="K84" s="35">
        <v>2</v>
      </c>
      <c r="L84" s="170">
        <v>4531.12</v>
      </c>
      <c r="M84" s="35">
        <v>0</v>
      </c>
      <c r="N84" s="170">
        <v>0</v>
      </c>
      <c r="O84" s="156">
        <f t="shared" si="1"/>
        <v>2</v>
      </c>
      <c r="P84" s="170">
        <f t="shared" si="1"/>
        <v>4531.12</v>
      </c>
      <c r="Q84" s="61"/>
      <c r="R84" s="61"/>
    </row>
    <row r="85" spans="1:18" s="62" customFormat="1" ht="26.25" customHeight="1">
      <c r="A85" s="59"/>
      <c r="B85" s="60"/>
      <c r="C85" s="60"/>
      <c r="D85" s="79" t="s">
        <v>24</v>
      </c>
      <c r="E85" s="75">
        <v>2301400</v>
      </c>
      <c r="F85" s="82" t="s">
        <v>61</v>
      </c>
      <c r="G85" s="114">
        <v>42761</v>
      </c>
      <c r="H85" s="115">
        <v>135</v>
      </c>
      <c r="I85" s="22">
        <v>0</v>
      </c>
      <c r="J85" s="170">
        <v>0</v>
      </c>
      <c r="K85" s="35">
        <v>14</v>
      </c>
      <c r="L85" s="170">
        <v>774.48</v>
      </c>
      <c r="M85" s="35">
        <v>0</v>
      </c>
      <c r="N85" s="170">
        <v>0</v>
      </c>
      <c r="O85" s="156">
        <f t="shared" si="1"/>
        <v>14</v>
      </c>
      <c r="P85" s="172">
        <f t="shared" si="1"/>
        <v>774.48</v>
      </c>
      <c r="Q85" s="61"/>
      <c r="R85" s="61"/>
    </row>
    <row r="86" spans="1:18" s="62" customFormat="1" ht="26.25" customHeight="1">
      <c r="A86" s="59"/>
      <c r="B86" s="60"/>
      <c r="C86" s="60"/>
      <c r="D86" s="79" t="s">
        <v>24</v>
      </c>
      <c r="E86" s="75">
        <v>2301400</v>
      </c>
      <c r="F86" s="82" t="s">
        <v>61</v>
      </c>
      <c r="G86" s="114">
        <v>43222</v>
      </c>
      <c r="H86" s="115">
        <v>834</v>
      </c>
      <c r="I86" s="22">
        <v>0</v>
      </c>
      <c r="J86" s="170">
        <v>0</v>
      </c>
      <c r="K86" s="35">
        <v>26</v>
      </c>
      <c r="L86" s="170">
        <v>1438.32</v>
      </c>
      <c r="M86" s="35">
        <v>0</v>
      </c>
      <c r="N86" s="170">
        <v>0</v>
      </c>
      <c r="O86" s="156">
        <f t="shared" si="1"/>
        <v>26</v>
      </c>
      <c r="P86" s="172">
        <f t="shared" si="1"/>
        <v>1438.32</v>
      </c>
      <c r="Q86" s="61"/>
      <c r="R86" s="61"/>
    </row>
    <row r="87" spans="1:18" s="62" customFormat="1" ht="26.25" customHeight="1">
      <c r="A87" s="59"/>
      <c r="B87" s="60"/>
      <c r="C87" s="60"/>
      <c r="D87" s="79" t="s">
        <v>24</v>
      </c>
      <c r="E87" s="75">
        <v>2301400</v>
      </c>
      <c r="F87" s="179" t="s">
        <v>62</v>
      </c>
      <c r="G87" s="114">
        <v>42761</v>
      </c>
      <c r="H87" s="115">
        <v>135</v>
      </c>
      <c r="I87" s="22">
        <v>0</v>
      </c>
      <c r="J87" s="170">
        <v>0</v>
      </c>
      <c r="K87" s="35">
        <v>6</v>
      </c>
      <c r="L87" s="170">
        <v>4549.08</v>
      </c>
      <c r="M87" s="35">
        <v>0</v>
      </c>
      <c r="N87" s="170">
        <v>0</v>
      </c>
      <c r="O87" s="156">
        <f t="shared" si="1"/>
        <v>6</v>
      </c>
      <c r="P87" s="172">
        <f t="shared" si="1"/>
        <v>4549.08</v>
      </c>
      <c r="Q87" s="61"/>
      <c r="R87" s="61"/>
    </row>
    <row r="88" spans="1:18" s="62" customFormat="1" ht="26.25" customHeight="1">
      <c r="A88" s="59"/>
      <c r="B88" s="60"/>
      <c r="C88" s="60"/>
      <c r="D88" s="79" t="s">
        <v>24</v>
      </c>
      <c r="E88" s="75">
        <v>2301400</v>
      </c>
      <c r="F88" s="179" t="s">
        <v>62</v>
      </c>
      <c r="G88" s="114">
        <v>43222</v>
      </c>
      <c r="H88" s="115">
        <v>834</v>
      </c>
      <c r="I88" s="22">
        <v>0</v>
      </c>
      <c r="J88" s="170">
        <v>0</v>
      </c>
      <c r="K88" s="35">
        <v>10</v>
      </c>
      <c r="L88" s="170">
        <v>7581.8</v>
      </c>
      <c r="M88" s="35">
        <v>0</v>
      </c>
      <c r="N88" s="170">
        <v>0</v>
      </c>
      <c r="O88" s="156">
        <f t="shared" si="1"/>
        <v>10</v>
      </c>
      <c r="P88" s="172">
        <f t="shared" si="1"/>
        <v>7581.8</v>
      </c>
      <c r="Q88" s="61"/>
      <c r="R88" s="61"/>
    </row>
    <row r="89" spans="1:18" s="62" customFormat="1" ht="26.25" customHeight="1">
      <c r="A89" s="59"/>
      <c r="B89" s="60"/>
      <c r="C89" s="60"/>
      <c r="D89" s="79" t="s">
        <v>24</v>
      </c>
      <c r="E89" s="75">
        <v>2301400</v>
      </c>
      <c r="F89" s="191" t="s">
        <v>66</v>
      </c>
      <c r="G89" s="114">
        <v>43145</v>
      </c>
      <c r="H89" s="115">
        <v>260</v>
      </c>
      <c r="I89" s="22">
        <v>0</v>
      </c>
      <c r="J89" s="170">
        <v>0</v>
      </c>
      <c r="K89" s="35">
        <v>2</v>
      </c>
      <c r="L89" s="170">
        <v>4040.8</v>
      </c>
      <c r="M89" s="35">
        <v>0</v>
      </c>
      <c r="N89" s="170">
        <v>0</v>
      </c>
      <c r="O89" s="156">
        <f t="shared" si="1"/>
        <v>2</v>
      </c>
      <c r="P89" s="172">
        <f t="shared" si="1"/>
        <v>4040.8</v>
      </c>
      <c r="Q89" s="61"/>
      <c r="R89" s="61"/>
    </row>
    <row r="90" spans="1:18" s="10" customFormat="1" ht="21" customHeight="1">
      <c r="A90" s="20" t="s">
        <v>11</v>
      </c>
      <c r="B90" s="20"/>
      <c r="C90" s="20"/>
      <c r="D90" s="695" t="s">
        <v>34</v>
      </c>
      <c r="E90" s="696"/>
      <c r="F90" s="696"/>
      <c r="G90" s="696"/>
      <c r="H90" s="697"/>
      <c r="I90" s="176">
        <f>SUM(I19:I42)</f>
        <v>1342</v>
      </c>
      <c r="J90" s="171">
        <f>SUM(J19:J75)</f>
        <v>493758.06</v>
      </c>
      <c r="K90" s="176">
        <f t="shared" ref="K90:N90" si="3">SUM(K19:K89)</f>
        <v>13007</v>
      </c>
      <c r="L90" s="175">
        <f>SUM(L19:L89)</f>
        <v>1506758.58</v>
      </c>
      <c r="M90" s="48">
        <f t="shared" si="3"/>
        <v>1460</v>
      </c>
      <c r="N90" s="171">
        <f t="shared" si="3"/>
        <v>408544.7300000001</v>
      </c>
      <c r="O90" s="176">
        <f>SUM(O19:O89)</f>
        <v>12889</v>
      </c>
      <c r="P90" s="171">
        <f>SUM(P19:P89)</f>
        <v>1591971.91</v>
      </c>
      <c r="Q90" s="26">
        <f>SUM(Q19:Q23)</f>
        <v>0</v>
      </c>
      <c r="R90" s="27"/>
    </row>
    <row r="91" spans="1:18">
      <c r="A91" s="19"/>
      <c r="B91" s="19"/>
      <c r="C91" s="19"/>
      <c r="I91" s="10"/>
      <c r="J91" s="10"/>
      <c r="K91" s="10"/>
      <c r="L91" s="10"/>
      <c r="M91" s="159"/>
      <c r="N91" s="159"/>
      <c r="O91" s="159"/>
      <c r="P91" s="159"/>
      <c r="Q91" s="10"/>
    </row>
    <row r="92" spans="1:18" ht="15.75">
      <c r="A92" s="28"/>
      <c r="B92" s="28"/>
      <c r="C92" s="28"/>
      <c r="D92" s="28"/>
      <c r="E92" s="28"/>
      <c r="F92" s="28"/>
      <c r="G92" s="108"/>
      <c r="H92" s="28"/>
      <c r="I92" s="11"/>
      <c r="J92" s="9"/>
      <c r="K92" s="11"/>
      <c r="L92" s="9"/>
      <c r="M92" s="9"/>
      <c r="N92" s="47"/>
      <c r="O92" s="47"/>
      <c r="P92" s="91"/>
    </row>
    <row r="93" spans="1:18" ht="18.75">
      <c r="A93" s="28"/>
      <c r="B93" s="28"/>
      <c r="C93" s="28"/>
      <c r="D93" s="28"/>
      <c r="E93" s="693" t="s">
        <v>25</v>
      </c>
      <c r="F93" s="693"/>
      <c r="G93" s="693"/>
      <c r="H93" s="693"/>
      <c r="I93" s="693"/>
      <c r="J93" s="693"/>
      <c r="K93" s="693"/>
      <c r="L93" s="693"/>
      <c r="M93" s="693"/>
      <c r="N93" s="693"/>
      <c r="O93" s="47"/>
      <c r="P93" s="12"/>
    </row>
    <row r="94" spans="1:18" ht="15" customHeight="1">
      <c r="A94" s="43"/>
      <c r="B94" s="43"/>
      <c r="C94" s="43"/>
      <c r="D94" s="43"/>
      <c r="E94" s="184"/>
      <c r="F94" s="187"/>
      <c r="G94" s="109"/>
      <c r="H94" s="32"/>
      <c r="I94" s="38"/>
      <c r="J94" s="32"/>
      <c r="K94" s="38"/>
      <c r="L94" s="32"/>
      <c r="M94" s="32"/>
      <c r="N94" s="39"/>
      <c r="O94" s="47"/>
      <c r="P94" s="12"/>
    </row>
    <row r="95" spans="1:18" ht="18" customHeight="1">
      <c r="A95" s="44" t="s">
        <v>12</v>
      </c>
      <c r="B95" s="44"/>
      <c r="C95" s="44"/>
      <c r="D95" s="44"/>
      <c r="E95" s="34"/>
      <c r="F95" s="40"/>
      <c r="G95" s="110"/>
      <c r="H95" s="40"/>
      <c r="I95" s="40"/>
      <c r="J95" s="40"/>
      <c r="K95" s="40"/>
      <c r="L95" s="40"/>
      <c r="M95" s="40"/>
      <c r="N95" s="40"/>
      <c r="O95" s="160"/>
      <c r="P95" s="13"/>
    </row>
    <row r="96" spans="1:18" ht="18.75">
      <c r="A96" s="9"/>
      <c r="B96" s="9"/>
      <c r="C96" s="9"/>
      <c r="D96" s="9"/>
      <c r="E96" s="694" t="s">
        <v>20</v>
      </c>
      <c r="F96" s="694"/>
      <c r="G96" s="694"/>
      <c r="H96" s="694"/>
      <c r="I96" s="694"/>
      <c r="J96" s="694"/>
      <c r="K96" s="694"/>
      <c r="L96" s="694"/>
      <c r="M96" s="694"/>
      <c r="N96" s="694"/>
      <c r="O96" s="9"/>
      <c r="P96" s="13"/>
    </row>
    <row r="97" spans="1:18" ht="15.75">
      <c r="A97" s="44"/>
      <c r="B97" s="44"/>
      <c r="C97" s="44"/>
      <c r="D97" s="44"/>
      <c r="E97" s="46" t="s">
        <v>26</v>
      </c>
      <c r="F97" s="44"/>
      <c r="G97" s="111"/>
      <c r="H97" s="45"/>
      <c r="I97" s="45"/>
      <c r="J97" s="45"/>
      <c r="K97" s="45"/>
      <c r="L97" s="45"/>
      <c r="M97" s="160"/>
      <c r="N97" s="160"/>
      <c r="O97" s="160"/>
    </row>
    <row r="98" spans="1:18" s="94" customFormat="1" ht="36" customHeight="1">
      <c r="A98" s="9"/>
      <c r="B98" s="9"/>
      <c r="C98" s="9"/>
      <c r="D98" s="676" t="s">
        <v>38</v>
      </c>
      <c r="E98" s="676"/>
      <c r="F98" s="676"/>
      <c r="G98" s="112"/>
      <c r="H98" s="9"/>
      <c r="I98" s="11"/>
      <c r="J98" s="9"/>
      <c r="K98" s="11"/>
      <c r="L98" s="9"/>
      <c r="M98" s="9"/>
      <c r="N98" s="9"/>
      <c r="O98" s="9"/>
      <c r="Q98"/>
      <c r="R98"/>
    </row>
  </sheetData>
  <mergeCells count="16">
    <mergeCell ref="D98:F98"/>
    <mergeCell ref="E9:O9"/>
    <mergeCell ref="D11:P11"/>
    <mergeCell ref="D12:P12"/>
    <mergeCell ref="E13:O13"/>
    <mergeCell ref="D16:D17"/>
    <mergeCell ref="E16:E17"/>
    <mergeCell ref="F16:F17"/>
    <mergeCell ref="G16:H16"/>
    <mergeCell ref="I16:J16"/>
    <mergeCell ref="K16:L16"/>
    <mergeCell ref="M16:N16"/>
    <mergeCell ref="O16:P16"/>
    <mergeCell ref="D90:H90"/>
    <mergeCell ref="E93:N93"/>
    <mergeCell ref="E96:N96"/>
  </mergeCells>
  <pageMargins left="0.31496062992125984" right="0.31496062992125984" top="0.11811023622047245" bottom="0.39370078740157483" header="0.23622047244094491" footer="0.51181102362204722"/>
  <pageSetup paperSize="9" scale="66" fitToHeight="3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V100"/>
  <sheetViews>
    <sheetView view="pageBreakPreview" topLeftCell="N76" zoomScale="70" zoomScaleSheetLayoutView="70" workbookViewId="0">
      <selection activeCell="AE82" sqref="AE82"/>
    </sheetView>
  </sheetViews>
  <sheetFormatPr defaultRowHeight="15.75"/>
  <cols>
    <col min="1" max="2" width="0" hidden="1" customWidth="1"/>
    <col min="3" max="3" width="3.5703125" customWidth="1"/>
    <col min="4" max="4" width="6.28515625" style="235" customWidth="1"/>
    <col min="5" max="5" width="22.5703125" customWidth="1"/>
    <col min="6" max="6" width="51.85546875" style="8" customWidth="1"/>
    <col min="7" max="7" width="32.85546875" style="224" customWidth="1"/>
    <col min="8" max="8" width="8.42578125" style="198" customWidth="1"/>
    <col min="9" max="9" width="9.5703125" style="198" customWidth="1"/>
    <col min="10" max="10" width="12.140625" style="244" customWidth="1"/>
    <col min="11" max="11" width="10.5703125" style="244" customWidth="1"/>
    <col min="12" max="12" width="11.85546875" style="244" customWidth="1"/>
    <col min="13" max="13" width="11" style="244" customWidth="1"/>
    <col min="14" max="14" width="14.5703125" style="244" customWidth="1"/>
    <col min="15" max="15" width="10.85546875" style="244" customWidth="1"/>
    <col min="16" max="16" width="16.85546875" style="244" customWidth="1"/>
    <col min="17" max="17" width="11.140625" style="244" customWidth="1"/>
    <col min="18" max="18" width="16" style="244" customWidth="1"/>
    <col min="19" max="19" width="9.85546875" style="244" customWidth="1"/>
    <col min="20" max="20" width="14.140625" style="244" customWidth="1"/>
    <col min="21" max="21" width="14.28515625" style="204" customWidth="1"/>
    <col min="22" max="23" width="11.7109375" style="107" customWidth="1"/>
    <col min="24" max="24" width="8.28515625" style="139" customWidth="1"/>
    <col min="25" max="25" width="14.140625" style="139" customWidth="1"/>
    <col min="26" max="26" width="10" style="139" customWidth="1"/>
    <col min="27" max="27" width="15.7109375" style="139" customWidth="1"/>
    <col min="28" max="28" width="9.42578125" customWidth="1"/>
    <col min="29" max="29" width="13.42578125" customWidth="1"/>
    <col min="30" max="30" width="10.140625" style="134" customWidth="1"/>
    <col min="31" max="31" width="15.5703125" style="134" customWidth="1"/>
    <col min="32" max="32" width="10" style="134" customWidth="1"/>
    <col min="33" max="33" width="11.85546875" style="134" customWidth="1"/>
    <col min="34" max="34" width="10.7109375" style="134" customWidth="1"/>
    <col min="35" max="35" width="11.85546875" style="134" customWidth="1"/>
    <col min="36" max="36" width="8.85546875" style="282" customWidth="1"/>
    <col min="37" max="37" width="14.140625" customWidth="1"/>
    <col min="38" max="38" width="8.85546875" style="273" customWidth="1"/>
    <col min="39" max="39" width="15" style="211" customWidth="1"/>
    <col min="40" max="40" width="8.85546875" style="271" customWidth="1"/>
    <col min="41" max="41" width="15.140625" style="215" customWidth="1"/>
    <col min="42" max="42" width="12.42578125" style="231" customWidth="1"/>
    <col min="43" max="43" width="8.7109375" style="274" customWidth="1"/>
    <col min="44" max="44" width="11.5703125" style="225" customWidth="1"/>
    <col min="45" max="45" width="14.5703125" style="225" customWidth="1"/>
    <col min="46" max="46" width="12.140625" style="260" customWidth="1"/>
    <col min="47" max="47" width="15" style="260" customWidth="1"/>
    <col min="48" max="48" width="23" style="263" customWidth="1"/>
  </cols>
  <sheetData>
    <row r="1" spans="1:48" s="62" customFormat="1">
      <c r="C1" s="256"/>
      <c r="D1" s="255"/>
      <c r="E1" s="256"/>
      <c r="F1" s="337"/>
      <c r="G1" s="337"/>
      <c r="H1" s="338"/>
      <c r="I1" s="338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8"/>
      <c r="V1" s="340"/>
      <c r="W1" s="340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9"/>
      <c r="AK1" s="256"/>
      <c r="AL1" s="259"/>
      <c r="AM1" s="256"/>
      <c r="AN1" s="259"/>
      <c r="AO1" s="256"/>
      <c r="AP1" s="326"/>
      <c r="AQ1" s="290"/>
      <c r="AR1" s="255"/>
      <c r="AS1" s="255"/>
      <c r="AT1" s="290"/>
      <c r="AU1" s="290"/>
      <c r="AV1" s="290"/>
    </row>
    <row r="2" spans="1:48" s="252" customFormat="1">
      <c r="B2" s="253"/>
      <c r="D2" s="253"/>
      <c r="E2" s="254"/>
      <c r="F2" s="255"/>
      <c r="G2" s="255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5"/>
      <c r="T2" s="254"/>
      <c r="U2" s="254"/>
      <c r="AJ2" s="280" t="s">
        <v>0</v>
      </c>
      <c r="AL2" s="258"/>
      <c r="AN2" s="258"/>
      <c r="AP2" s="258"/>
      <c r="AQ2" s="258"/>
      <c r="AT2" s="258"/>
      <c r="AU2" s="258"/>
      <c r="AV2" s="258"/>
    </row>
    <row r="3" spans="1:48" s="252" customFormat="1" ht="12.75" customHeight="1">
      <c r="B3" s="253"/>
      <c r="D3" s="253"/>
      <c r="E3" s="254"/>
      <c r="F3" s="255"/>
      <c r="G3" s="255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5"/>
      <c r="T3" s="254"/>
      <c r="U3" s="254"/>
      <c r="AJ3" s="259" t="s">
        <v>21</v>
      </c>
      <c r="AL3" s="258"/>
      <c r="AN3" s="258"/>
      <c r="AP3" s="258"/>
      <c r="AQ3" s="258"/>
      <c r="AT3" s="258"/>
      <c r="AU3" s="258"/>
      <c r="AV3" s="258"/>
    </row>
    <row r="4" spans="1:48" s="252" customFormat="1" ht="12.75" customHeight="1">
      <c r="B4" s="253"/>
      <c r="D4" s="253"/>
      <c r="E4" s="254"/>
      <c r="F4" s="255"/>
      <c r="G4" s="255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254"/>
      <c r="U4" s="254"/>
      <c r="AJ4" s="259" t="s">
        <v>1</v>
      </c>
      <c r="AL4" s="258"/>
      <c r="AN4" s="258"/>
      <c r="AP4" s="258"/>
      <c r="AQ4" s="258"/>
      <c r="AT4" s="258"/>
      <c r="AU4" s="258"/>
      <c r="AV4" s="258"/>
    </row>
    <row r="5" spans="1:48" s="252" customFormat="1" ht="12.75" customHeight="1">
      <c r="B5" s="253"/>
      <c r="D5" s="253"/>
      <c r="E5" s="254"/>
      <c r="F5" s="255"/>
      <c r="G5" s="255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/>
      <c r="T5" s="254"/>
      <c r="U5" s="254"/>
      <c r="AJ5" s="259" t="s">
        <v>33</v>
      </c>
      <c r="AL5" s="258"/>
      <c r="AN5" s="258"/>
      <c r="AP5" s="258"/>
      <c r="AQ5" s="258"/>
      <c r="AT5" s="258"/>
      <c r="AU5" s="258"/>
      <c r="AV5" s="258"/>
    </row>
    <row r="6" spans="1:48" s="256" customFormat="1" ht="22.5" customHeight="1">
      <c r="B6" s="255"/>
      <c r="D6" s="255"/>
      <c r="E6" s="698" t="s">
        <v>22</v>
      </c>
      <c r="F6" s="698"/>
      <c r="G6" s="698"/>
      <c r="H6" s="698"/>
      <c r="I6" s="698"/>
      <c r="J6" s="698"/>
      <c r="K6" s="698"/>
      <c r="L6" s="698"/>
      <c r="M6" s="698"/>
      <c r="N6" s="698"/>
      <c r="O6" s="698"/>
      <c r="P6" s="698"/>
      <c r="Q6" s="698"/>
      <c r="R6" s="698"/>
      <c r="S6" s="698"/>
      <c r="T6" s="698"/>
      <c r="U6" s="698"/>
      <c r="V6" s="698"/>
      <c r="W6" s="698"/>
      <c r="X6" s="698"/>
      <c r="Y6" s="698"/>
      <c r="Z6" s="698"/>
      <c r="AA6" s="698"/>
      <c r="AB6" s="698"/>
      <c r="AC6" s="698"/>
      <c r="AD6" s="698"/>
      <c r="AE6" s="698"/>
      <c r="AF6" s="698"/>
      <c r="AG6" s="698"/>
      <c r="AH6" s="698"/>
      <c r="AI6" s="698"/>
      <c r="AJ6" s="698"/>
      <c r="AK6" s="698"/>
      <c r="AL6" s="698"/>
      <c r="AM6" s="698"/>
      <c r="AN6" s="698"/>
      <c r="AO6" s="698"/>
      <c r="AP6" s="698"/>
      <c r="AQ6" s="698"/>
      <c r="AR6" s="698"/>
      <c r="AS6" s="698"/>
      <c r="AT6" s="698"/>
      <c r="AU6" s="259"/>
      <c r="AV6" s="259"/>
    </row>
    <row r="7" spans="1:48" s="256" customFormat="1" ht="23.25" customHeight="1">
      <c r="B7" s="255"/>
      <c r="C7" s="300"/>
      <c r="D7" s="290"/>
      <c r="E7" s="677" t="s">
        <v>188</v>
      </c>
      <c r="F7" s="677"/>
      <c r="G7" s="677"/>
      <c r="H7" s="677"/>
      <c r="I7" s="677"/>
      <c r="J7" s="677"/>
      <c r="K7" s="677"/>
      <c r="L7" s="677"/>
      <c r="M7" s="677"/>
      <c r="N7" s="677"/>
      <c r="O7" s="677"/>
      <c r="P7" s="677"/>
      <c r="Q7" s="677"/>
      <c r="R7" s="677"/>
      <c r="S7" s="677"/>
      <c r="T7" s="677"/>
      <c r="U7" s="677"/>
      <c r="V7" s="677"/>
      <c r="W7" s="677"/>
      <c r="X7" s="677"/>
      <c r="Y7" s="677"/>
      <c r="Z7" s="677"/>
      <c r="AA7" s="677"/>
      <c r="AB7" s="677"/>
      <c r="AC7" s="677"/>
      <c r="AD7" s="677"/>
      <c r="AE7" s="677"/>
      <c r="AF7" s="677"/>
      <c r="AG7" s="677"/>
      <c r="AH7" s="677"/>
      <c r="AI7" s="677"/>
      <c r="AJ7" s="677"/>
      <c r="AK7" s="677"/>
      <c r="AL7" s="677"/>
      <c r="AM7" s="677"/>
      <c r="AN7" s="677"/>
      <c r="AO7" s="677"/>
      <c r="AP7" s="677"/>
      <c r="AQ7" s="677"/>
      <c r="AR7" s="677"/>
      <c r="AS7" s="677"/>
      <c r="AT7" s="677"/>
      <c r="AU7" s="300"/>
      <c r="AV7" s="259"/>
    </row>
    <row r="8" spans="1:48" s="256" customFormat="1" ht="23.25" customHeight="1">
      <c r="B8" s="255"/>
      <c r="C8" s="677" t="s">
        <v>189</v>
      </c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7"/>
      <c r="P8" s="677"/>
      <c r="Q8" s="677"/>
      <c r="R8" s="677"/>
      <c r="S8" s="677"/>
      <c r="T8" s="677"/>
      <c r="U8" s="677"/>
      <c r="V8" s="677"/>
      <c r="W8" s="677"/>
      <c r="X8" s="677"/>
      <c r="Y8" s="677"/>
      <c r="Z8" s="677"/>
      <c r="AA8" s="677"/>
      <c r="AB8" s="677"/>
      <c r="AC8" s="677"/>
      <c r="AD8" s="677"/>
      <c r="AE8" s="677"/>
      <c r="AF8" s="677"/>
      <c r="AG8" s="677"/>
      <c r="AH8" s="677"/>
      <c r="AI8" s="677"/>
      <c r="AJ8" s="677"/>
      <c r="AK8" s="677"/>
      <c r="AL8" s="677"/>
      <c r="AM8" s="677"/>
      <c r="AN8" s="677"/>
      <c r="AO8" s="677"/>
      <c r="AP8" s="677"/>
      <c r="AQ8" s="677"/>
      <c r="AR8" s="677"/>
      <c r="AS8" s="677"/>
      <c r="AT8" s="677"/>
      <c r="AU8" s="677"/>
      <c r="AV8" s="259"/>
    </row>
    <row r="9" spans="1:48" s="256" customFormat="1" ht="17.25" customHeight="1">
      <c r="B9" s="341"/>
      <c r="C9" s="699" t="s">
        <v>192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699"/>
      <c r="S9" s="699"/>
      <c r="T9" s="699"/>
      <c r="U9" s="699"/>
      <c r="V9" s="699"/>
      <c r="W9" s="699"/>
      <c r="X9" s="699"/>
      <c r="Y9" s="699"/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699"/>
      <c r="AO9" s="699"/>
      <c r="AP9" s="699"/>
      <c r="AQ9" s="699"/>
      <c r="AR9" s="699"/>
      <c r="AS9" s="699"/>
      <c r="AT9" s="699"/>
      <c r="AU9" s="699"/>
      <c r="AV9" s="259"/>
    </row>
    <row r="10" spans="1:48" s="256" customFormat="1" ht="18.75">
      <c r="B10" s="341"/>
      <c r="C10" s="699" t="s">
        <v>190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699"/>
      <c r="U10" s="699"/>
      <c r="V10" s="699"/>
      <c r="W10" s="699"/>
      <c r="X10" s="699"/>
      <c r="Y10" s="699"/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699"/>
      <c r="AO10" s="699"/>
      <c r="AP10" s="699"/>
      <c r="AQ10" s="699"/>
      <c r="AR10" s="699"/>
      <c r="AS10" s="699"/>
      <c r="AT10" s="699"/>
      <c r="AU10" s="699"/>
      <c r="AV10" s="259"/>
    </row>
    <row r="11" spans="1:48" s="257" customFormat="1" ht="18.75">
      <c r="B11" s="342"/>
      <c r="C11" s="700" t="s">
        <v>191</v>
      </c>
      <c r="D11" s="700"/>
      <c r="E11" s="700"/>
      <c r="F11" s="700"/>
      <c r="G11" s="700"/>
      <c r="H11" s="700"/>
      <c r="I11" s="700"/>
      <c r="J11" s="700"/>
      <c r="K11" s="700"/>
      <c r="L11" s="700"/>
      <c r="M11" s="700"/>
      <c r="N11" s="700"/>
      <c r="O11" s="700"/>
      <c r="P11" s="700"/>
      <c r="Q11" s="700"/>
      <c r="R11" s="700"/>
      <c r="S11" s="700"/>
      <c r="T11" s="700"/>
      <c r="U11" s="700"/>
      <c r="V11" s="700"/>
      <c r="W11" s="700"/>
      <c r="X11" s="700"/>
      <c r="Y11" s="700"/>
      <c r="Z11" s="700"/>
      <c r="AA11" s="700"/>
      <c r="AB11" s="700"/>
      <c r="AC11" s="700"/>
      <c r="AD11" s="700"/>
      <c r="AE11" s="700"/>
      <c r="AF11" s="700"/>
      <c r="AG11" s="700"/>
      <c r="AH11" s="700"/>
      <c r="AI11" s="700"/>
      <c r="AJ11" s="700"/>
      <c r="AK11" s="700"/>
      <c r="AL11" s="700"/>
      <c r="AM11" s="700"/>
      <c r="AN11" s="700"/>
      <c r="AO11" s="700"/>
      <c r="AP11" s="700"/>
      <c r="AQ11" s="700"/>
      <c r="AR11" s="700"/>
      <c r="AS11" s="700"/>
      <c r="AT11" s="700"/>
      <c r="AU11" s="700"/>
      <c r="AV11" s="343"/>
    </row>
    <row r="12" spans="1:48" s="4" customFormat="1" ht="18" customHeight="1">
      <c r="A12" s="344"/>
      <c r="B12" s="345"/>
      <c r="C12" s="346"/>
      <c r="D12" s="253"/>
      <c r="E12" s="346"/>
      <c r="F12" s="347"/>
      <c r="G12" s="347"/>
      <c r="H12" s="347"/>
      <c r="I12" s="347"/>
      <c r="J12" s="347"/>
      <c r="K12" s="347"/>
      <c r="L12" s="347"/>
      <c r="M12" s="347"/>
      <c r="N12" s="347"/>
      <c r="O12" s="347"/>
      <c r="P12" s="347"/>
      <c r="Q12" s="347"/>
      <c r="R12" s="347"/>
      <c r="S12" s="347"/>
      <c r="T12" s="347"/>
      <c r="U12" s="347"/>
      <c r="V12" s="348"/>
      <c r="W12" s="348"/>
      <c r="X12" s="347"/>
      <c r="Y12" s="347"/>
      <c r="Z12" s="347"/>
      <c r="AA12" s="347"/>
      <c r="AB12" s="347"/>
      <c r="AC12" s="347"/>
      <c r="AD12" s="347"/>
      <c r="AE12" s="347"/>
      <c r="AF12" s="347"/>
      <c r="AG12" s="347"/>
      <c r="AH12" s="347"/>
      <c r="AI12" s="347"/>
      <c r="AJ12" s="349"/>
      <c r="AK12" s="347"/>
      <c r="AL12" s="350"/>
      <c r="AM12" s="338"/>
      <c r="AN12" s="289"/>
      <c r="AO12" s="288"/>
      <c r="AP12" s="285"/>
      <c r="AQ12" s="260"/>
      <c r="AR12" s="220"/>
      <c r="AS12" s="220"/>
      <c r="AT12" s="260"/>
      <c r="AU12" s="260"/>
      <c r="AV12" s="260"/>
    </row>
    <row r="13" spans="1:48" s="4" customFormat="1">
      <c r="A13" s="351" t="s">
        <v>2</v>
      </c>
      <c r="B13" s="352"/>
      <c r="C13" s="346"/>
      <c r="D13" s="253"/>
      <c r="E13" s="346"/>
      <c r="F13" s="346"/>
      <c r="G13" s="346"/>
      <c r="H13" s="347"/>
      <c r="I13" s="347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47"/>
      <c r="V13" s="348"/>
      <c r="W13" s="348"/>
      <c r="X13" s="346"/>
      <c r="Y13" s="346"/>
      <c r="Z13" s="346"/>
      <c r="AA13" s="346"/>
      <c r="AB13" s="346"/>
      <c r="AC13" s="354"/>
      <c r="AD13" s="354"/>
      <c r="AE13" s="354"/>
      <c r="AF13" s="354"/>
      <c r="AG13" s="354"/>
      <c r="AH13" s="354"/>
      <c r="AI13" s="354"/>
      <c r="AJ13" s="355"/>
      <c r="AK13" s="354"/>
      <c r="AL13" s="355"/>
      <c r="AM13" s="354"/>
      <c r="AN13" s="721" t="s">
        <v>101</v>
      </c>
      <c r="AO13" s="721"/>
      <c r="AP13" s="721"/>
      <c r="AQ13" s="721"/>
      <c r="AR13" s="721"/>
      <c r="AS13" s="721"/>
      <c r="AT13" s="721"/>
      <c r="AU13" s="721"/>
      <c r="AV13" s="721"/>
    </row>
    <row r="14" spans="1:48" s="94" customFormat="1" ht="87" customHeight="1">
      <c r="A14" s="92" t="s">
        <v>3</v>
      </c>
      <c r="B14" s="93"/>
      <c r="C14" s="93"/>
      <c r="D14" s="684" t="s">
        <v>95</v>
      </c>
      <c r="E14" s="684" t="s">
        <v>13</v>
      </c>
      <c r="F14" s="684" t="s">
        <v>14</v>
      </c>
      <c r="G14" s="704" t="s">
        <v>72</v>
      </c>
      <c r="H14" s="706" t="s">
        <v>89</v>
      </c>
      <c r="I14" s="706" t="s">
        <v>90</v>
      </c>
      <c r="J14" s="704" t="s">
        <v>73</v>
      </c>
      <c r="K14" s="704" t="s">
        <v>74</v>
      </c>
      <c r="L14" s="704" t="s">
        <v>75</v>
      </c>
      <c r="M14" s="712" t="s">
        <v>76</v>
      </c>
      <c r="N14" s="712"/>
      <c r="O14" s="701" t="s">
        <v>79</v>
      </c>
      <c r="P14" s="702"/>
      <c r="Q14" s="702"/>
      <c r="R14" s="702"/>
      <c r="S14" s="702"/>
      <c r="T14" s="703"/>
      <c r="U14" s="717" t="s">
        <v>88</v>
      </c>
      <c r="V14" s="708" t="s">
        <v>51</v>
      </c>
      <c r="W14" s="709"/>
      <c r="X14" s="730" t="s">
        <v>83</v>
      </c>
      <c r="Y14" s="731"/>
      <c r="Z14" s="730" t="s">
        <v>84</v>
      </c>
      <c r="AA14" s="731"/>
      <c r="AB14" s="708" t="s">
        <v>15</v>
      </c>
      <c r="AC14" s="709"/>
      <c r="AD14" s="713" t="s">
        <v>97</v>
      </c>
      <c r="AE14" s="714"/>
      <c r="AF14" s="714"/>
      <c r="AG14" s="714"/>
      <c r="AH14" s="714"/>
      <c r="AI14" s="715"/>
      <c r="AJ14" s="708" t="s">
        <v>98</v>
      </c>
      <c r="AK14" s="709"/>
      <c r="AL14" s="722" t="s">
        <v>99</v>
      </c>
      <c r="AM14" s="723"/>
      <c r="AN14" s="726" t="s">
        <v>100</v>
      </c>
      <c r="AO14" s="727"/>
      <c r="AP14" s="734" t="s">
        <v>102</v>
      </c>
      <c r="AQ14" s="737" t="s">
        <v>103</v>
      </c>
      <c r="AR14" s="737"/>
      <c r="AS14" s="737"/>
      <c r="AT14" s="681" t="s">
        <v>104</v>
      </c>
      <c r="AU14" s="681"/>
      <c r="AV14" s="681"/>
    </row>
    <row r="15" spans="1:48" s="94" customFormat="1" ht="26.25" customHeight="1">
      <c r="A15" s="92"/>
      <c r="B15" s="95"/>
      <c r="C15" s="95"/>
      <c r="D15" s="735"/>
      <c r="E15" s="735"/>
      <c r="F15" s="735"/>
      <c r="G15" s="705"/>
      <c r="H15" s="707"/>
      <c r="I15" s="707"/>
      <c r="J15" s="705"/>
      <c r="K15" s="705"/>
      <c r="L15" s="705"/>
      <c r="M15" s="712"/>
      <c r="N15" s="712"/>
      <c r="O15" s="701" t="s">
        <v>80</v>
      </c>
      <c r="P15" s="703"/>
      <c r="Q15" s="701" t="s">
        <v>81</v>
      </c>
      <c r="R15" s="703"/>
      <c r="S15" s="701" t="s">
        <v>82</v>
      </c>
      <c r="T15" s="703"/>
      <c r="U15" s="718"/>
      <c r="V15" s="710"/>
      <c r="W15" s="711"/>
      <c r="X15" s="732"/>
      <c r="Y15" s="733"/>
      <c r="Z15" s="732"/>
      <c r="AA15" s="733"/>
      <c r="AB15" s="710"/>
      <c r="AC15" s="711"/>
      <c r="AD15" s="716" t="s">
        <v>85</v>
      </c>
      <c r="AE15" s="716"/>
      <c r="AF15" s="716" t="s">
        <v>86</v>
      </c>
      <c r="AG15" s="716"/>
      <c r="AH15" s="716" t="s">
        <v>87</v>
      </c>
      <c r="AI15" s="716"/>
      <c r="AJ15" s="710"/>
      <c r="AK15" s="711"/>
      <c r="AL15" s="724"/>
      <c r="AM15" s="725"/>
      <c r="AN15" s="728"/>
      <c r="AO15" s="729"/>
      <c r="AP15" s="734"/>
      <c r="AQ15" s="737"/>
      <c r="AR15" s="737"/>
      <c r="AS15" s="737"/>
      <c r="AT15" s="738" t="s">
        <v>105</v>
      </c>
      <c r="AU15" s="738"/>
      <c r="AV15" s="234" t="s">
        <v>106</v>
      </c>
    </row>
    <row r="16" spans="1:48" s="99" customFormat="1" ht="21.75" customHeight="1">
      <c r="A16" s="98">
        <v>1</v>
      </c>
      <c r="B16" s="98"/>
      <c r="C16" s="98"/>
      <c r="D16" s="685"/>
      <c r="E16" s="685"/>
      <c r="F16" s="685"/>
      <c r="G16" s="202"/>
      <c r="H16" s="201"/>
      <c r="I16" s="201"/>
      <c r="J16" s="241"/>
      <c r="K16" s="241"/>
      <c r="L16" s="241"/>
      <c r="M16" s="239" t="s">
        <v>77</v>
      </c>
      <c r="N16" s="239" t="s">
        <v>78</v>
      </c>
      <c r="O16" s="239" t="s">
        <v>77</v>
      </c>
      <c r="P16" s="239" t="s">
        <v>78</v>
      </c>
      <c r="Q16" s="239" t="s">
        <v>77</v>
      </c>
      <c r="R16" s="239" t="s">
        <v>78</v>
      </c>
      <c r="S16" s="239" t="s">
        <v>77</v>
      </c>
      <c r="T16" s="239" t="s">
        <v>78</v>
      </c>
      <c r="U16" s="719"/>
      <c r="V16" s="96" t="s">
        <v>7</v>
      </c>
      <c r="W16" s="106" t="s">
        <v>6</v>
      </c>
      <c r="X16" s="196" t="s">
        <v>7</v>
      </c>
      <c r="Y16" s="197" t="s">
        <v>6</v>
      </c>
      <c r="Z16" s="196" t="s">
        <v>7</v>
      </c>
      <c r="AA16" s="197" t="s">
        <v>6</v>
      </c>
      <c r="AB16" s="97" t="s">
        <v>96</v>
      </c>
      <c r="AC16" s="96" t="s">
        <v>19</v>
      </c>
      <c r="AD16" s="240" t="s">
        <v>77</v>
      </c>
      <c r="AE16" s="240" t="s">
        <v>78</v>
      </c>
      <c r="AF16" s="205" t="s">
        <v>77</v>
      </c>
      <c r="AG16" s="205" t="s">
        <v>78</v>
      </c>
      <c r="AH16" s="240" t="s">
        <v>77</v>
      </c>
      <c r="AI16" s="240" t="s">
        <v>78</v>
      </c>
      <c r="AJ16" s="97" t="s">
        <v>96</v>
      </c>
      <c r="AK16" s="96" t="s">
        <v>19</v>
      </c>
      <c r="AL16" s="237" t="s">
        <v>96</v>
      </c>
      <c r="AM16" s="237" t="s">
        <v>19</v>
      </c>
      <c r="AN16" s="216" t="s">
        <v>96</v>
      </c>
      <c r="AO16" s="216" t="s">
        <v>19</v>
      </c>
      <c r="AP16" s="207" t="s">
        <v>96</v>
      </c>
      <c r="AQ16" s="237" t="s">
        <v>96</v>
      </c>
      <c r="AR16" s="237" t="s">
        <v>107</v>
      </c>
      <c r="AS16" s="237" t="s">
        <v>19</v>
      </c>
      <c r="AT16" s="238" t="s">
        <v>96</v>
      </c>
      <c r="AU16" s="238" t="s">
        <v>19</v>
      </c>
      <c r="AV16" s="206" t="s">
        <v>108</v>
      </c>
    </row>
    <row r="17" spans="1:48" s="74" customFormat="1" ht="22.5">
      <c r="A17" s="65" t="s">
        <v>10</v>
      </c>
      <c r="B17" s="66">
        <v>9</v>
      </c>
      <c r="C17" s="60"/>
      <c r="D17" s="22">
        <v>1</v>
      </c>
      <c r="E17" s="79" t="s">
        <v>23</v>
      </c>
      <c r="F17" s="67" t="s">
        <v>9</v>
      </c>
      <c r="G17" s="222" t="s">
        <v>127</v>
      </c>
      <c r="H17" s="193" t="s">
        <v>91</v>
      </c>
      <c r="I17" s="193" t="s">
        <v>91</v>
      </c>
      <c r="J17" s="193"/>
      <c r="K17" s="193"/>
      <c r="L17" s="243"/>
      <c r="M17" s="242">
        <f>J17*K17</f>
        <v>0</v>
      </c>
      <c r="N17" s="243">
        <f>L17*M17</f>
        <v>0</v>
      </c>
      <c r="O17" s="193"/>
      <c r="P17" s="243"/>
      <c r="Q17" s="193"/>
      <c r="R17" s="243"/>
      <c r="S17" s="193"/>
      <c r="T17" s="243"/>
      <c r="U17" s="203" t="s">
        <v>92</v>
      </c>
      <c r="V17" s="69">
        <v>907</v>
      </c>
      <c r="W17" s="68">
        <v>41974</v>
      </c>
      <c r="X17" s="192">
        <v>1962</v>
      </c>
      <c r="Y17" s="199">
        <v>41981</v>
      </c>
      <c r="Z17" s="192"/>
      <c r="AA17" s="192"/>
      <c r="AB17" s="70">
        <v>6</v>
      </c>
      <c r="AC17" s="167">
        <v>169.84</v>
      </c>
      <c r="AD17" s="209"/>
      <c r="AE17" s="194"/>
      <c r="AF17" s="209"/>
      <c r="AG17" s="194"/>
      <c r="AH17" s="209"/>
      <c r="AI17" s="194"/>
      <c r="AJ17" s="279">
        <f>AD17+AF17+AH17</f>
        <v>0</v>
      </c>
      <c r="AK17" s="167">
        <f>AE17+AG17+AI17</f>
        <v>0</v>
      </c>
      <c r="AL17" s="272">
        <f>2+4</f>
        <v>6</v>
      </c>
      <c r="AM17" s="212">
        <v>107.75</v>
      </c>
      <c r="AN17" s="269">
        <v>4</v>
      </c>
      <c r="AO17" s="217">
        <v>129.16</v>
      </c>
      <c r="AP17" s="232"/>
      <c r="AQ17" s="229">
        <v>4</v>
      </c>
      <c r="AR17" s="212">
        <v>32.29</v>
      </c>
      <c r="AS17" s="212">
        <f>AQ17*AR17</f>
        <v>129.16</v>
      </c>
      <c r="AT17" s="261">
        <f>AN17+AP17-AQ17</f>
        <v>0</v>
      </c>
      <c r="AU17" s="262">
        <f>AT17*AR17</f>
        <v>0</v>
      </c>
      <c r="AV17" s="264">
        <v>0</v>
      </c>
    </row>
    <row r="18" spans="1:48" s="119" customFormat="1" ht="24.75" customHeight="1">
      <c r="A18" s="116"/>
      <c r="B18" s="117"/>
      <c r="C18" s="60"/>
      <c r="D18" s="22">
        <v>2</v>
      </c>
      <c r="E18" s="79" t="s">
        <v>27</v>
      </c>
      <c r="F18" s="135" t="s">
        <v>31</v>
      </c>
      <c r="G18" s="222" t="s">
        <v>135</v>
      </c>
      <c r="H18" s="193" t="s">
        <v>91</v>
      </c>
      <c r="I18" s="193" t="s">
        <v>91</v>
      </c>
      <c r="J18" s="193"/>
      <c r="K18" s="193"/>
      <c r="L18" s="243"/>
      <c r="M18" s="242">
        <f t="shared" ref="M18:M80" si="0">J18*K18</f>
        <v>0</v>
      </c>
      <c r="N18" s="243">
        <f t="shared" ref="N18:N81" si="1">L18*M18</f>
        <v>0</v>
      </c>
      <c r="O18" s="193"/>
      <c r="P18" s="243"/>
      <c r="Q18" s="193"/>
      <c r="R18" s="243"/>
      <c r="S18" s="193"/>
      <c r="T18" s="243"/>
      <c r="U18" s="203"/>
      <c r="V18" s="22">
        <v>833</v>
      </c>
      <c r="W18" s="76">
        <v>42347</v>
      </c>
      <c r="X18" s="192">
        <v>65</v>
      </c>
      <c r="Y18" s="199">
        <v>42396</v>
      </c>
      <c r="Z18" s="192"/>
      <c r="AA18" s="192"/>
      <c r="AB18" s="35">
        <v>1</v>
      </c>
      <c r="AC18" s="170">
        <v>1026.1600000000001</v>
      </c>
      <c r="AD18" s="209"/>
      <c r="AE18" s="194"/>
      <c r="AF18" s="209"/>
      <c r="AG18" s="194"/>
      <c r="AH18" s="209"/>
      <c r="AI18" s="194"/>
      <c r="AJ18" s="233">
        <f>AD18+AF18+AH18</f>
        <v>0</v>
      </c>
      <c r="AK18" s="170">
        <f>AE18+AG18+AI18</f>
        <v>0</v>
      </c>
      <c r="AL18" s="272"/>
      <c r="AM18" s="212"/>
      <c r="AN18" s="227">
        <f>AB18+AJ18-AL18</f>
        <v>1</v>
      </c>
      <c r="AO18" s="217">
        <f t="shared" ref="AO18:AO48" si="2">AC18+AK18-AM18</f>
        <v>1026.1600000000001</v>
      </c>
      <c r="AP18" s="232"/>
      <c r="AQ18" s="229"/>
      <c r="AR18" s="212">
        <v>1026.1600000000001</v>
      </c>
      <c r="AS18" s="212">
        <f t="shared" ref="AS18:AS84" si="3">AQ18*AR18</f>
        <v>0</v>
      </c>
      <c r="AT18" s="261">
        <f t="shared" ref="AT18:AT84" si="4">AN18+AP18-AQ18</f>
        <v>1</v>
      </c>
      <c r="AU18" s="262">
        <f t="shared" ref="AU18:AU84" si="5">AT18*AR18</f>
        <v>1026.1600000000001</v>
      </c>
      <c r="AV18" s="265">
        <v>1</v>
      </c>
    </row>
    <row r="19" spans="1:48" s="89" customFormat="1" ht="24.75" customHeight="1">
      <c r="A19" s="80"/>
      <c r="B19" s="81"/>
      <c r="C19" s="60"/>
      <c r="D19" s="22">
        <v>3</v>
      </c>
      <c r="E19" s="100" t="s">
        <v>36</v>
      </c>
      <c r="F19" s="135" t="s">
        <v>31</v>
      </c>
      <c r="G19" s="222" t="s">
        <v>135</v>
      </c>
      <c r="H19" s="193" t="s">
        <v>91</v>
      </c>
      <c r="I19" s="193" t="s">
        <v>91</v>
      </c>
      <c r="J19" s="193"/>
      <c r="K19" s="193"/>
      <c r="L19" s="243"/>
      <c r="M19" s="242">
        <f t="shared" si="0"/>
        <v>0</v>
      </c>
      <c r="N19" s="243">
        <f t="shared" si="1"/>
        <v>0</v>
      </c>
      <c r="O19" s="193"/>
      <c r="P19" s="243"/>
      <c r="Q19" s="193"/>
      <c r="R19" s="243"/>
      <c r="S19" s="193"/>
      <c r="T19" s="243"/>
      <c r="U19" s="203"/>
      <c r="V19" s="22">
        <v>1034</v>
      </c>
      <c r="W19" s="76">
        <v>42647</v>
      </c>
      <c r="X19" s="192">
        <v>1232</v>
      </c>
      <c r="Y19" s="199">
        <v>42396</v>
      </c>
      <c r="Z19" s="192"/>
      <c r="AA19" s="192"/>
      <c r="AB19" s="35">
        <v>1</v>
      </c>
      <c r="AC19" s="170">
        <v>1026.1600000000001</v>
      </c>
      <c r="AD19" s="209"/>
      <c r="AE19" s="194"/>
      <c r="AF19" s="209"/>
      <c r="AG19" s="194"/>
      <c r="AH19" s="209"/>
      <c r="AI19" s="194"/>
      <c r="AJ19" s="233">
        <f t="shared" ref="AJ19:AJ85" si="6">AD19+AF19+AH19</f>
        <v>0</v>
      </c>
      <c r="AK19" s="170">
        <f t="shared" ref="AK19:AK85" si="7">AE19+AG19+AI19</f>
        <v>0</v>
      </c>
      <c r="AL19" s="272"/>
      <c r="AM19" s="212"/>
      <c r="AN19" s="269">
        <f t="shared" ref="AN19:AN48" si="8">AB19+AJ19-AL19</f>
        <v>1</v>
      </c>
      <c r="AO19" s="217">
        <f t="shared" si="2"/>
        <v>1026.1600000000001</v>
      </c>
      <c r="AP19" s="232"/>
      <c r="AQ19" s="229"/>
      <c r="AR19" s="212">
        <v>1026.1600000000001</v>
      </c>
      <c r="AS19" s="212">
        <f t="shared" si="3"/>
        <v>0</v>
      </c>
      <c r="AT19" s="261">
        <f t="shared" si="4"/>
        <v>1</v>
      </c>
      <c r="AU19" s="262">
        <f t="shared" si="5"/>
        <v>1026.1600000000001</v>
      </c>
      <c r="AV19" s="266">
        <v>1</v>
      </c>
    </row>
    <row r="20" spans="1:48" s="62" customFormat="1" ht="24.75" customHeight="1">
      <c r="A20" s="59"/>
      <c r="B20" s="60"/>
      <c r="C20" s="60"/>
      <c r="D20" s="22">
        <v>4</v>
      </c>
      <c r="E20" s="79" t="s">
        <v>27</v>
      </c>
      <c r="F20" s="178" t="s">
        <v>29</v>
      </c>
      <c r="G20" s="222" t="s">
        <v>123</v>
      </c>
      <c r="H20" s="193" t="s">
        <v>91</v>
      </c>
      <c r="I20" s="193" t="s">
        <v>91</v>
      </c>
      <c r="J20" s="193"/>
      <c r="K20" s="193"/>
      <c r="L20" s="243"/>
      <c r="M20" s="242">
        <f t="shared" si="0"/>
        <v>0</v>
      </c>
      <c r="N20" s="243">
        <f t="shared" si="1"/>
        <v>0</v>
      </c>
      <c r="O20" s="193"/>
      <c r="P20" s="243"/>
      <c r="Q20" s="193"/>
      <c r="R20" s="243"/>
      <c r="S20" s="193"/>
      <c r="T20" s="243"/>
      <c r="U20" s="203" t="s">
        <v>193</v>
      </c>
      <c r="V20" s="55">
        <v>833</v>
      </c>
      <c r="W20" s="54">
        <v>42347</v>
      </c>
      <c r="X20" s="192">
        <v>65</v>
      </c>
      <c r="Y20" s="199">
        <v>42396</v>
      </c>
      <c r="Z20" s="192"/>
      <c r="AA20" s="192"/>
      <c r="AB20" s="35">
        <v>1</v>
      </c>
      <c r="AC20" s="170">
        <v>2094.4</v>
      </c>
      <c r="AD20" s="209"/>
      <c r="AE20" s="194"/>
      <c r="AF20" s="209"/>
      <c r="AG20" s="194"/>
      <c r="AH20" s="209"/>
      <c r="AI20" s="194"/>
      <c r="AJ20" s="233">
        <f t="shared" si="6"/>
        <v>0</v>
      </c>
      <c r="AK20" s="170">
        <f t="shared" si="7"/>
        <v>0</v>
      </c>
      <c r="AL20" s="272"/>
      <c r="AM20" s="212"/>
      <c r="AN20" s="269">
        <f t="shared" si="8"/>
        <v>1</v>
      </c>
      <c r="AO20" s="217">
        <f t="shared" si="2"/>
        <v>2094.4</v>
      </c>
      <c r="AP20" s="232"/>
      <c r="AQ20" s="229"/>
      <c r="AR20" s="212">
        <v>2094.4</v>
      </c>
      <c r="AS20" s="212">
        <f t="shared" si="3"/>
        <v>0</v>
      </c>
      <c r="AT20" s="261">
        <f t="shared" si="4"/>
        <v>1</v>
      </c>
      <c r="AU20" s="262">
        <f t="shared" si="5"/>
        <v>2094.4</v>
      </c>
      <c r="AV20" s="267">
        <v>1</v>
      </c>
    </row>
    <row r="21" spans="1:48" s="89" customFormat="1" ht="33.75">
      <c r="A21" s="80"/>
      <c r="B21" s="81"/>
      <c r="C21" s="60"/>
      <c r="D21" s="22">
        <v>5</v>
      </c>
      <c r="E21" s="100" t="s">
        <v>36</v>
      </c>
      <c r="F21" s="178" t="s">
        <v>29</v>
      </c>
      <c r="G21" s="222" t="s">
        <v>123</v>
      </c>
      <c r="H21" s="193" t="s">
        <v>91</v>
      </c>
      <c r="I21" s="193" t="s">
        <v>91</v>
      </c>
      <c r="J21" s="193"/>
      <c r="K21" s="193"/>
      <c r="L21" s="243"/>
      <c r="M21" s="242">
        <f t="shared" si="0"/>
        <v>0</v>
      </c>
      <c r="N21" s="243">
        <f t="shared" si="1"/>
        <v>0</v>
      </c>
      <c r="O21" s="193"/>
      <c r="P21" s="243"/>
      <c r="Q21" s="193"/>
      <c r="R21" s="243"/>
      <c r="S21" s="193"/>
      <c r="T21" s="243"/>
      <c r="U21" s="203"/>
      <c r="V21" s="84">
        <v>1034</v>
      </c>
      <c r="W21" s="83">
        <v>42647</v>
      </c>
      <c r="X21" s="192">
        <v>1232</v>
      </c>
      <c r="Y21" s="199">
        <v>42698</v>
      </c>
      <c r="Z21" s="192"/>
      <c r="AA21" s="192"/>
      <c r="AB21" s="35">
        <v>1</v>
      </c>
      <c r="AC21" s="170">
        <v>2094.4</v>
      </c>
      <c r="AD21" s="209"/>
      <c r="AE21" s="194"/>
      <c r="AF21" s="209"/>
      <c r="AG21" s="194"/>
      <c r="AH21" s="209"/>
      <c r="AI21" s="194"/>
      <c r="AJ21" s="233">
        <f t="shared" si="6"/>
        <v>0</v>
      </c>
      <c r="AK21" s="170">
        <f t="shared" si="7"/>
        <v>0</v>
      </c>
      <c r="AL21" s="272"/>
      <c r="AM21" s="212"/>
      <c r="AN21" s="269">
        <f t="shared" si="8"/>
        <v>1</v>
      </c>
      <c r="AO21" s="217">
        <f t="shared" si="2"/>
        <v>2094.4</v>
      </c>
      <c r="AP21" s="232"/>
      <c r="AQ21" s="229"/>
      <c r="AR21" s="212">
        <v>2094.4</v>
      </c>
      <c r="AS21" s="212">
        <f t="shared" si="3"/>
        <v>0</v>
      </c>
      <c r="AT21" s="261">
        <f t="shared" si="4"/>
        <v>1</v>
      </c>
      <c r="AU21" s="262">
        <f t="shared" si="5"/>
        <v>2094.4</v>
      </c>
      <c r="AV21" s="266">
        <v>1</v>
      </c>
    </row>
    <row r="22" spans="1:48" s="62" customFormat="1" ht="24" customHeight="1">
      <c r="A22" s="59"/>
      <c r="B22" s="60"/>
      <c r="C22" s="60"/>
      <c r="D22" s="22">
        <v>6</v>
      </c>
      <c r="E22" s="79" t="s">
        <v>27</v>
      </c>
      <c r="F22" s="155" t="s">
        <v>32</v>
      </c>
      <c r="G22" s="222" t="s">
        <v>129</v>
      </c>
      <c r="H22" s="193" t="s">
        <v>91</v>
      </c>
      <c r="I22" s="193" t="s">
        <v>91</v>
      </c>
      <c r="J22" s="193"/>
      <c r="K22" s="193"/>
      <c r="L22" s="243"/>
      <c r="M22" s="242">
        <f t="shared" si="0"/>
        <v>0</v>
      </c>
      <c r="N22" s="243">
        <f t="shared" si="1"/>
        <v>0</v>
      </c>
      <c r="O22" s="193"/>
      <c r="P22" s="243"/>
      <c r="Q22" s="193"/>
      <c r="R22" s="243"/>
      <c r="S22" s="193"/>
      <c r="T22" s="243"/>
      <c r="U22" s="203" t="s">
        <v>93</v>
      </c>
      <c r="V22" s="55">
        <v>833</v>
      </c>
      <c r="W22" s="54">
        <v>42347</v>
      </c>
      <c r="X22" s="192">
        <v>1</v>
      </c>
      <c r="Y22" s="199">
        <v>42430</v>
      </c>
      <c r="Z22" s="192"/>
      <c r="AA22" s="192"/>
      <c r="AB22" s="35">
        <v>6</v>
      </c>
      <c r="AC22" s="170">
        <v>4721.3999999999996</v>
      </c>
      <c r="AD22" s="209"/>
      <c r="AE22" s="194"/>
      <c r="AF22" s="209"/>
      <c r="AG22" s="194"/>
      <c r="AH22" s="209"/>
      <c r="AI22" s="194"/>
      <c r="AJ22" s="233">
        <f t="shared" si="6"/>
        <v>0</v>
      </c>
      <c r="AK22" s="170">
        <f t="shared" si="7"/>
        <v>0</v>
      </c>
      <c r="AL22" s="272">
        <f>1</f>
        <v>1</v>
      </c>
      <c r="AM22" s="212">
        <f>786.9</f>
        <v>786.9</v>
      </c>
      <c r="AN22" s="269">
        <v>6</v>
      </c>
      <c r="AO22" s="217">
        <f>AN22*AR22</f>
        <v>4721.3999999999996</v>
      </c>
      <c r="AP22" s="232"/>
      <c r="AQ22" s="229">
        <v>1</v>
      </c>
      <c r="AR22" s="212">
        <v>786.9</v>
      </c>
      <c r="AS22" s="212">
        <f t="shared" si="3"/>
        <v>786.9</v>
      </c>
      <c r="AT22" s="261">
        <f t="shared" si="4"/>
        <v>5</v>
      </c>
      <c r="AU22" s="262">
        <f t="shared" si="5"/>
        <v>3934.5</v>
      </c>
      <c r="AV22" s="267">
        <v>5</v>
      </c>
    </row>
    <row r="23" spans="1:48" s="62" customFormat="1" ht="29.25" customHeight="1">
      <c r="A23" s="59"/>
      <c r="B23" s="60"/>
      <c r="C23" s="60"/>
      <c r="D23" s="22">
        <v>7</v>
      </c>
      <c r="E23" s="79" t="s">
        <v>24</v>
      </c>
      <c r="F23" s="188" t="s">
        <v>40</v>
      </c>
      <c r="G23" s="223" t="s">
        <v>135</v>
      </c>
      <c r="H23" s="193" t="s">
        <v>91</v>
      </c>
      <c r="I23" s="193" t="s">
        <v>91</v>
      </c>
      <c r="J23" s="193"/>
      <c r="K23" s="193"/>
      <c r="L23" s="243"/>
      <c r="M23" s="242">
        <f t="shared" si="0"/>
        <v>0</v>
      </c>
      <c r="N23" s="243">
        <f t="shared" si="1"/>
        <v>0</v>
      </c>
      <c r="O23" s="193"/>
      <c r="P23" s="243"/>
      <c r="Q23" s="193"/>
      <c r="R23" s="243"/>
      <c r="S23" s="193"/>
      <c r="T23" s="243"/>
      <c r="U23" s="203"/>
      <c r="V23" s="115">
        <v>977</v>
      </c>
      <c r="W23" s="114">
        <v>42976</v>
      </c>
      <c r="X23" s="193" t="s">
        <v>194</v>
      </c>
      <c r="Y23" s="200">
        <v>42984</v>
      </c>
      <c r="Z23" s="193" t="s">
        <v>211</v>
      </c>
      <c r="AA23" s="200">
        <v>42983</v>
      </c>
      <c r="AB23" s="35">
        <v>4</v>
      </c>
      <c r="AC23" s="170">
        <v>8081.6</v>
      </c>
      <c r="AD23" s="209"/>
      <c r="AE23" s="194"/>
      <c r="AF23" s="209"/>
      <c r="AG23" s="194"/>
      <c r="AH23" s="209"/>
      <c r="AI23" s="194"/>
      <c r="AJ23" s="233">
        <f t="shared" si="6"/>
        <v>0</v>
      </c>
      <c r="AK23" s="170">
        <f t="shared" si="7"/>
        <v>0</v>
      </c>
      <c r="AL23" s="272"/>
      <c r="AM23" s="212"/>
      <c r="AN23" s="269">
        <f t="shared" si="8"/>
        <v>4</v>
      </c>
      <c r="AO23" s="217">
        <f t="shared" si="2"/>
        <v>8081.6</v>
      </c>
      <c r="AP23" s="232"/>
      <c r="AQ23" s="229"/>
      <c r="AR23" s="212">
        <v>2020.4</v>
      </c>
      <c r="AS23" s="212">
        <f t="shared" si="3"/>
        <v>0</v>
      </c>
      <c r="AT23" s="261">
        <f t="shared" si="4"/>
        <v>4</v>
      </c>
      <c r="AU23" s="262">
        <f t="shared" si="5"/>
        <v>8081.6</v>
      </c>
      <c r="AV23" s="267">
        <v>4</v>
      </c>
    </row>
    <row r="24" spans="1:48" s="62" customFormat="1" ht="24.75" customHeight="1">
      <c r="A24" s="59"/>
      <c r="B24" s="60"/>
      <c r="C24" s="60"/>
      <c r="D24" s="22">
        <v>8</v>
      </c>
      <c r="E24" s="79" t="s">
        <v>24</v>
      </c>
      <c r="F24" s="177" t="s">
        <v>41</v>
      </c>
      <c r="G24" s="222" t="s">
        <v>166</v>
      </c>
      <c r="H24" s="193" t="s">
        <v>91</v>
      </c>
      <c r="I24" s="193" t="s">
        <v>91</v>
      </c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03" t="s">
        <v>196</v>
      </c>
      <c r="V24" s="115">
        <v>1379</v>
      </c>
      <c r="W24" s="114">
        <v>43046</v>
      </c>
      <c r="X24" s="193" t="s">
        <v>195</v>
      </c>
      <c r="Y24" s="200">
        <v>43059</v>
      </c>
      <c r="Z24" s="193"/>
      <c r="AA24" s="193"/>
      <c r="AB24" s="35">
        <v>180</v>
      </c>
      <c r="AC24" s="170">
        <v>25070.400000000001</v>
      </c>
      <c r="AD24" s="209"/>
      <c r="AE24" s="194"/>
      <c r="AF24" s="209"/>
      <c r="AG24" s="194"/>
      <c r="AH24" s="209"/>
      <c r="AI24" s="194"/>
      <c r="AJ24" s="233">
        <f t="shared" si="6"/>
        <v>0</v>
      </c>
      <c r="AK24" s="170">
        <f t="shared" si="7"/>
        <v>0</v>
      </c>
      <c r="AL24" s="272">
        <f>60+60+30+30</f>
        <v>180</v>
      </c>
      <c r="AM24" s="212">
        <f>AL24*AR24</f>
        <v>25070.400000000001</v>
      </c>
      <c r="AN24" s="269">
        <v>30</v>
      </c>
      <c r="AO24" s="217">
        <f>AN24*AR24</f>
        <v>4178.3999999999996</v>
      </c>
      <c r="AP24" s="232"/>
      <c r="AQ24" s="229">
        <v>30</v>
      </c>
      <c r="AR24" s="212">
        <v>139.28</v>
      </c>
      <c r="AS24" s="212">
        <f t="shared" si="3"/>
        <v>4178.3999999999996</v>
      </c>
      <c r="AT24" s="261">
        <f>AN24-AQ24</f>
        <v>0</v>
      </c>
      <c r="AU24" s="262">
        <f t="shared" si="5"/>
        <v>0</v>
      </c>
      <c r="AV24" s="267">
        <v>0</v>
      </c>
    </row>
    <row r="25" spans="1:48" s="62" customFormat="1" ht="24.75" customHeight="1">
      <c r="A25" s="59"/>
      <c r="B25" s="60"/>
      <c r="C25" s="60"/>
      <c r="D25" s="22">
        <v>9</v>
      </c>
      <c r="E25" s="79" t="s">
        <v>24</v>
      </c>
      <c r="F25" s="177" t="s">
        <v>41</v>
      </c>
      <c r="G25" s="222" t="s">
        <v>166</v>
      </c>
      <c r="H25" s="193" t="s">
        <v>91</v>
      </c>
      <c r="I25" s="193" t="s">
        <v>91</v>
      </c>
      <c r="J25" s="193">
        <v>360</v>
      </c>
      <c r="K25" s="193">
        <v>2</v>
      </c>
      <c r="L25" s="243">
        <v>141.46</v>
      </c>
      <c r="M25" s="242">
        <f>J25*K25</f>
        <v>720</v>
      </c>
      <c r="N25" s="243">
        <f>L25*M25</f>
        <v>101851.20000000001</v>
      </c>
      <c r="O25" s="193">
        <v>180</v>
      </c>
      <c r="P25" s="243">
        <v>23198.400000000001</v>
      </c>
      <c r="Q25" s="193">
        <v>720</v>
      </c>
      <c r="R25" s="243">
        <v>128239.2</v>
      </c>
      <c r="S25" s="193">
        <v>420</v>
      </c>
      <c r="T25" s="243">
        <v>59413.2</v>
      </c>
      <c r="U25" s="203" t="s">
        <v>165</v>
      </c>
      <c r="V25" s="115">
        <v>834</v>
      </c>
      <c r="W25" s="114">
        <v>43222</v>
      </c>
      <c r="X25" s="193" t="s">
        <v>162</v>
      </c>
      <c r="Y25" s="200">
        <v>43242</v>
      </c>
      <c r="Z25" s="193"/>
      <c r="AA25" s="193"/>
      <c r="AB25" s="35">
        <v>0</v>
      </c>
      <c r="AC25" s="170">
        <v>0</v>
      </c>
      <c r="AD25" s="209">
        <v>40</v>
      </c>
      <c r="AE25" s="194">
        <v>5571.2</v>
      </c>
      <c r="AF25" s="209"/>
      <c r="AG25" s="194"/>
      <c r="AH25" s="209"/>
      <c r="AI25" s="194"/>
      <c r="AJ25" s="233">
        <f t="shared" si="6"/>
        <v>40</v>
      </c>
      <c r="AK25" s="170">
        <f t="shared" si="7"/>
        <v>5571.2</v>
      </c>
      <c r="AL25" s="272">
        <v>0</v>
      </c>
      <c r="AM25" s="212">
        <v>0</v>
      </c>
      <c r="AN25" s="269">
        <f t="shared" si="8"/>
        <v>40</v>
      </c>
      <c r="AO25" s="217">
        <f t="shared" si="2"/>
        <v>5571.2</v>
      </c>
      <c r="AP25" s="232"/>
      <c r="AQ25" s="229"/>
      <c r="AR25" s="212">
        <v>139.28</v>
      </c>
      <c r="AS25" s="212">
        <f t="shared" si="3"/>
        <v>0</v>
      </c>
      <c r="AT25" s="261">
        <f t="shared" si="4"/>
        <v>40</v>
      </c>
      <c r="AU25" s="262">
        <f t="shared" si="5"/>
        <v>5571.2</v>
      </c>
      <c r="AV25" s="267">
        <v>40</v>
      </c>
    </row>
    <row r="26" spans="1:48" s="62" customFormat="1" ht="31.5">
      <c r="A26" s="59"/>
      <c r="B26" s="60"/>
      <c r="C26" s="60"/>
      <c r="D26" s="22">
        <v>10</v>
      </c>
      <c r="E26" s="79" t="s">
        <v>24</v>
      </c>
      <c r="F26" s="179" t="s">
        <v>53</v>
      </c>
      <c r="G26" s="222" t="s">
        <v>168</v>
      </c>
      <c r="H26" s="193" t="s">
        <v>91</v>
      </c>
      <c r="I26" s="193" t="s">
        <v>91</v>
      </c>
      <c r="J26" s="245"/>
      <c r="K26" s="245"/>
      <c r="L26" s="245"/>
      <c r="M26" s="245"/>
      <c r="N26" s="245"/>
      <c r="O26" s="245"/>
      <c r="P26" s="245"/>
      <c r="Q26" s="245"/>
      <c r="R26" s="245"/>
      <c r="S26" s="245"/>
      <c r="T26" s="245"/>
      <c r="U26" s="268" t="s">
        <v>197</v>
      </c>
      <c r="V26" s="115">
        <v>1379</v>
      </c>
      <c r="W26" s="114">
        <v>43046</v>
      </c>
      <c r="X26" s="193" t="s">
        <v>195</v>
      </c>
      <c r="Y26" s="200">
        <v>43059</v>
      </c>
      <c r="Z26" s="193"/>
      <c r="AA26" s="193"/>
      <c r="AB26" s="35">
        <v>180</v>
      </c>
      <c r="AC26" s="170">
        <v>94469.4</v>
      </c>
      <c r="AD26" s="209"/>
      <c r="AE26" s="194"/>
      <c r="AF26" s="209"/>
      <c r="AG26" s="194"/>
      <c r="AH26" s="209"/>
      <c r="AI26" s="194"/>
      <c r="AJ26" s="233">
        <f t="shared" si="6"/>
        <v>0</v>
      </c>
      <c r="AK26" s="170">
        <f t="shared" si="7"/>
        <v>0</v>
      </c>
      <c r="AL26" s="272">
        <f>60+60+30+30</f>
        <v>180</v>
      </c>
      <c r="AM26" s="212">
        <f>AL26*AR26</f>
        <v>94469.400000000009</v>
      </c>
      <c r="AN26" s="269">
        <v>30</v>
      </c>
      <c r="AO26" s="217">
        <f>AN26*AR26</f>
        <v>15744.900000000001</v>
      </c>
      <c r="AP26" s="232"/>
      <c r="AQ26" s="229">
        <v>30</v>
      </c>
      <c r="AR26" s="212">
        <v>524.83000000000004</v>
      </c>
      <c r="AS26" s="212">
        <f t="shared" si="3"/>
        <v>15744.900000000001</v>
      </c>
      <c r="AT26" s="261">
        <f t="shared" si="4"/>
        <v>0</v>
      </c>
      <c r="AU26" s="262">
        <f t="shared" si="5"/>
        <v>0</v>
      </c>
      <c r="AV26" s="267">
        <v>0</v>
      </c>
    </row>
    <row r="27" spans="1:48" s="62" customFormat="1" ht="31.5">
      <c r="A27" s="59"/>
      <c r="B27" s="60"/>
      <c r="C27" s="60"/>
      <c r="D27" s="22">
        <v>11</v>
      </c>
      <c r="E27" s="79" t="s">
        <v>24</v>
      </c>
      <c r="F27" s="179" t="s">
        <v>53</v>
      </c>
      <c r="G27" s="222" t="s">
        <v>168</v>
      </c>
      <c r="H27" s="193" t="s">
        <v>91</v>
      </c>
      <c r="I27" s="193" t="s">
        <v>91</v>
      </c>
      <c r="J27" s="193">
        <v>360</v>
      </c>
      <c r="K27" s="193">
        <v>2</v>
      </c>
      <c r="L27" s="243">
        <v>533.03</v>
      </c>
      <c r="M27" s="242">
        <f>J27*K27</f>
        <v>720</v>
      </c>
      <c r="N27" s="243">
        <f>L27*M27</f>
        <v>383781.6</v>
      </c>
      <c r="O27" s="193">
        <v>180</v>
      </c>
      <c r="P27" s="243">
        <v>87354</v>
      </c>
      <c r="Q27" s="193">
        <v>720</v>
      </c>
      <c r="R27" s="243">
        <v>475977.6</v>
      </c>
      <c r="S27" s="193">
        <v>420</v>
      </c>
      <c r="T27" s="243">
        <v>223872.6</v>
      </c>
      <c r="U27" s="203" t="s">
        <v>167</v>
      </c>
      <c r="V27" s="115">
        <v>834</v>
      </c>
      <c r="W27" s="114">
        <v>43222</v>
      </c>
      <c r="X27" s="193" t="s">
        <v>162</v>
      </c>
      <c r="Y27" s="200">
        <v>43242</v>
      </c>
      <c r="Z27" s="193"/>
      <c r="AA27" s="193"/>
      <c r="AB27" s="35">
        <v>0</v>
      </c>
      <c r="AC27" s="170">
        <v>0</v>
      </c>
      <c r="AD27" s="209">
        <v>39</v>
      </c>
      <c r="AE27" s="194">
        <v>20468.37</v>
      </c>
      <c r="AF27" s="209"/>
      <c r="AG27" s="194"/>
      <c r="AH27" s="209"/>
      <c r="AI27" s="194"/>
      <c r="AJ27" s="233">
        <f t="shared" si="6"/>
        <v>39</v>
      </c>
      <c r="AK27" s="170">
        <f t="shared" si="7"/>
        <v>20468.37</v>
      </c>
      <c r="AL27" s="272">
        <v>0</v>
      </c>
      <c r="AM27" s="212">
        <v>0</v>
      </c>
      <c r="AN27" s="269">
        <f t="shared" si="8"/>
        <v>39</v>
      </c>
      <c r="AO27" s="217">
        <f t="shared" si="2"/>
        <v>20468.37</v>
      </c>
      <c r="AP27" s="232"/>
      <c r="AQ27" s="229"/>
      <c r="AR27" s="212">
        <v>524.83000000000004</v>
      </c>
      <c r="AS27" s="212">
        <f t="shared" si="3"/>
        <v>0</v>
      </c>
      <c r="AT27" s="261">
        <f t="shared" si="4"/>
        <v>39</v>
      </c>
      <c r="AU27" s="262">
        <f t="shared" si="5"/>
        <v>20468.370000000003</v>
      </c>
      <c r="AV27" s="267">
        <v>39</v>
      </c>
    </row>
    <row r="28" spans="1:48" s="62" customFormat="1" ht="26.25" customHeight="1">
      <c r="A28" s="59"/>
      <c r="B28" s="60"/>
      <c r="C28" s="60"/>
      <c r="D28" s="22">
        <v>12</v>
      </c>
      <c r="E28" s="79" t="s">
        <v>24</v>
      </c>
      <c r="F28" s="149" t="s">
        <v>44</v>
      </c>
      <c r="G28" s="222" t="s">
        <v>116</v>
      </c>
      <c r="H28" s="193" t="s">
        <v>91</v>
      </c>
      <c r="I28" s="193" t="s">
        <v>91</v>
      </c>
      <c r="J28" s="193"/>
      <c r="K28" s="193"/>
      <c r="L28" s="243"/>
      <c r="M28" s="242">
        <f t="shared" si="0"/>
        <v>0</v>
      </c>
      <c r="N28" s="243">
        <f t="shared" si="1"/>
        <v>0</v>
      </c>
      <c r="O28" s="193"/>
      <c r="P28" s="243"/>
      <c r="Q28" s="193"/>
      <c r="R28" s="243"/>
      <c r="S28" s="193"/>
      <c r="T28" s="243"/>
      <c r="U28" s="203"/>
      <c r="V28" s="115">
        <v>1476</v>
      </c>
      <c r="W28" s="114">
        <v>43066</v>
      </c>
      <c r="X28" s="193" t="s">
        <v>201</v>
      </c>
      <c r="Y28" s="200">
        <v>43068</v>
      </c>
      <c r="Z28" s="193" t="s">
        <v>210</v>
      </c>
      <c r="AA28" s="200">
        <v>43073</v>
      </c>
      <c r="AB28" s="35">
        <v>5</v>
      </c>
      <c r="AC28" s="170">
        <v>1010.9</v>
      </c>
      <c r="AD28" s="209"/>
      <c r="AE28" s="194"/>
      <c r="AF28" s="209"/>
      <c r="AG28" s="194"/>
      <c r="AH28" s="209"/>
      <c r="AI28" s="194"/>
      <c r="AJ28" s="233">
        <f t="shared" si="6"/>
        <v>0</v>
      </c>
      <c r="AK28" s="170">
        <f t="shared" si="7"/>
        <v>0</v>
      </c>
      <c r="AL28" s="272">
        <v>5</v>
      </c>
      <c r="AM28" s="212">
        <v>1010.9</v>
      </c>
      <c r="AN28" s="269">
        <v>5</v>
      </c>
      <c r="AO28" s="217">
        <f>AN28*AR28</f>
        <v>1010.9000000000001</v>
      </c>
      <c r="AP28" s="232"/>
      <c r="AQ28" s="229">
        <v>5</v>
      </c>
      <c r="AR28" s="212">
        <v>202.18</v>
      </c>
      <c r="AS28" s="212">
        <f t="shared" si="3"/>
        <v>1010.9000000000001</v>
      </c>
      <c r="AT28" s="261">
        <f t="shared" si="4"/>
        <v>0</v>
      </c>
      <c r="AU28" s="262">
        <f t="shared" si="5"/>
        <v>0</v>
      </c>
      <c r="AV28" s="267">
        <v>0</v>
      </c>
    </row>
    <row r="29" spans="1:48" s="62" customFormat="1" ht="26.25" customHeight="1">
      <c r="A29" s="59"/>
      <c r="B29" s="60"/>
      <c r="C29" s="60"/>
      <c r="D29" s="22">
        <v>13</v>
      </c>
      <c r="E29" s="79" t="s">
        <v>24</v>
      </c>
      <c r="F29" s="149" t="s">
        <v>44</v>
      </c>
      <c r="G29" s="222" t="s">
        <v>116</v>
      </c>
      <c r="H29" s="193" t="s">
        <v>91</v>
      </c>
      <c r="I29" s="193" t="s">
        <v>91</v>
      </c>
      <c r="J29" s="193"/>
      <c r="K29" s="193"/>
      <c r="L29" s="243"/>
      <c r="M29" s="242">
        <f t="shared" si="0"/>
        <v>0</v>
      </c>
      <c r="N29" s="243">
        <f t="shared" si="1"/>
        <v>0</v>
      </c>
      <c r="O29" s="193"/>
      <c r="P29" s="243"/>
      <c r="Q29" s="193"/>
      <c r="R29" s="243"/>
      <c r="S29" s="193"/>
      <c r="T29" s="243"/>
      <c r="U29" s="203"/>
      <c r="V29" s="115" t="s">
        <v>59</v>
      </c>
      <c r="W29" s="114">
        <v>43061</v>
      </c>
      <c r="X29" s="193"/>
      <c r="Y29" s="193"/>
      <c r="Z29" s="193"/>
      <c r="AA29" s="193"/>
      <c r="AB29" s="35">
        <v>205</v>
      </c>
      <c r="AC29" s="170">
        <v>41446.9</v>
      </c>
      <c r="AD29" s="209"/>
      <c r="AE29" s="194"/>
      <c r="AF29" s="209"/>
      <c r="AG29" s="194"/>
      <c r="AH29" s="209"/>
      <c r="AI29" s="194"/>
      <c r="AJ29" s="233">
        <f t="shared" si="6"/>
        <v>0</v>
      </c>
      <c r="AK29" s="170">
        <f t="shared" si="7"/>
        <v>0</v>
      </c>
      <c r="AL29" s="272">
        <v>205</v>
      </c>
      <c r="AM29" s="212">
        <f>AL29*AR29</f>
        <v>41446.9</v>
      </c>
      <c r="AN29" s="269">
        <v>205</v>
      </c>
      <c r="AO29" s="217">
        <f>AN29*AR29</f>
        <v>41446.9</v>
      </c>
      <c r="AP29" s="232"/>
      <c r="AQ29" s="229">
        <v>205</v>
      </c>
      <c r="AR29" s="212">
        <v>202.18</v>
      </c>
      <c r="AS29" s="212">
        <f t="shared" si="3"/>
        <v>41446.9</v>
      </c>
      <c r="AT29" s="261">
        <f t="shared" si="4"/>
        <v>0</v>
      </c>
      <c r="AU29" s="262">
        <f t="shared" si="5"/>
        <v>0</v>
      </c>
      <c r="AV29" s="267">
        <v>0</v>
      </c>
    </row>
    <row r="30" spans="1:48" s="103" customFormat="1" ht="26.25" customHeight="1">
      <c r="A30" s="283"/>
      <c r="B30" s="101"/>
      <c r="C30" s="101"/>
      <c r="D30" s="22">
        <v>14</v>
      </c>
      <c r="E30" s="104" t="s">
        <v>24</v>
      </c>
      <c r="F30" s="51" t="s">
        <v>198</v>
      </c>
      <c r="G30" s="275" t="s">
        <v>114</v>
      </c>
      <c r="H30" s="115" t="s">
        <v>91</v>
      </c>
      <c r="I30" s="115" t="s">
        <v>91</v>
      </c>
      <c r="J30" s="115"/>
      <c r="K30" s="115"/>
      <c r="L30" s="276"/>
      <c r="M30" s="277">
        <f t="shared" si="0"/>
        <v>0</v>
      </c>
      <c r="N30" s="276">
        <f t="shared" si="1"/>
        <v>0</v>
      </c>
      <c r="O30" s="115"/>
      <c r="P30" s="276"/>
      <c r="Q30" s="115"/>
      <c r="R30" s="276"/>
      <c r="S30" s="115"/>
      <c r="T30" s="276"/>
      <c r="U30" s="278"/>
      <c r="V30" s="115">
        <v>1379</v>
      </c>
      <c r="W30" s="114">
        <v>43046</v>
      </c>
      <c r="X30" s="115"/>
      <c r="Y30" s="115"/>
      <c r="Z30" s="115"/>
      <c r="AA30" s="115"/>
      <c r="AB30" s="35">
        <v>44</v>
      </c>
      <c r="AC30" s="170">
        <v>13134</v>
      </c>
      <c r="AD30" s="208"/>
      <c r="AE30" s="170"/>
      <c r="AF30" s="208"/>
      <c r="AG30" s="170"/>
      <c r="AH30" s="208"/>
      <c r="AI30" s="170"/>
      <c r="AJ30" s="208">
        <f t="shared" si="6"/>
        <v>0</v>
      </c>
      <c r="AK30" s="170">
        <f t="shared" si="7"/>
        <v>0</v>
      </c>
      <c r="AL30" s="35">
        <f>30+14</f>
        <v>44</v>
      </c>
      <c r="AM30" s="170">
        <f>8955+4179</f>
        <v>13134</v>
      </c>
      <c r="AN30" s="35">
        <f t="shared" si="8"/>
        <v>0</v>
      </c>
      <c r="AO30" s="170">
        <f t="shared" si="2"/>
        <v>0</v>
      </c>
      <c r="AP30" s="208"/>
      <c r="AQ30" s="208"/>
      <c r="AR30" s="170">
        <f>AM30/AL30</f>
        <v>298.5</v>
      </c>
      <c r="AS30" s="170">
        <f t="shared" si="3"/>
        <v>0</v>
      </c>
      <c r="AT30" s="208">
        <f t="shared" si="4"/>
        <v>0</v>
      </c>
      <c r="AU30" s="170">
        <f t="shared" si="5"/>
        <v>0</v>
      </c>
      <c r="AV30" s="22">
        <v>0</v>
      </c>
    </row>
    <row r="31" spans="1:48" s="103" customFormat="1" ht="26.25" customHeight="1">
      <c r="A31" s="283"/>
      <c r="B31" s="101"/>
      <c r="C31" s="101"/>
      <c r="D31" s="22">
        <v>15</v>
      </c>
      <c r="E31" s="104" t="s">
        <v>24</v>
      </c>
      <c r="F31" s="51" t="s">
        <v>198</v>
      </c>
      <c r="G31" s="275" t="s">
        <v>114</v>
      </c>
      <c r="H31" s="115" t="s">
        <v>91</v>
      </c>
      <c r="I31" s="115" t="s">
        <v>91</v>
      </c>
      <c r="J31" s="115"/>
      <c r="K31" s="115"/>
      <c r="L31" s="276"/>
      <c r="M31" s="277">
        <f t="shared" si="0"/>
        <v>0</v>
      </c>
      <c r="N31" s="276">
        <f t="shared" si="1"/>
        <v>0</v>
      </c>
      <c r="O31" s="115"/>
      <c r="P31" s="276"/>
      <c r="Q31" s="115"/>
      <c r="R31" s="276"/>
      <c r="S31" s="115"/>
      <c r="T31" s="276"/>
      <c r="U31" s="278"/>
      <c r="V31" s="115">
        <v>1476</v>
      </c>
      <c r="W31" s="114">
        <v>43066</v>
      </c>
      <c r="X31" s="115" t="s">
        <v>201</v>
      </c>
      <c r="Y31" s="221">
        <v>43068</v>
      </c>
      <c r="Z31" s="115" t="s">
        <v>210</v>
      </c>
      <c r="AA31" s="221">
        <v>43073</v>
      </c>
      <c r="AB31" s="35">
        <v>6</v>
      </c>
      <c r="AC31" s="170">
        <v>1791</v>
      </c>
      <c r="AD31" s="208"/>
      <c r="AE31" s="170"/>
      <c r="AF31" s="208"/>
      <c r="AG31" s="170"/>
      <c r="AH31" s="208"/>
      <c r="AI31" s="170"/>
      <c r="AJ31" s="208">
        <f t="shared" si="6"/>
        <v>0</v>
      </c>
      <c r="AK31" s="170">
        <f t="shared" si="7"/>
        <v>0</v>
      </c>
      <c r="AL31" s="35">
        <f>6</f>
        <v>6</v>
      </c>
      <c r="AM31" s="170">
        <v>1791</v>
      </c>
      <c r="AN31" s="35">
        <f t="shared" si="8"/>
        <v>0</v>
      </c>
      <c r="AO31" s="170">
        <f t="shared" si="2"/>
        <v>0</v>
      </c>
      <c r="AP31" s="208"/>
      <c r="AQ31" s="208"/>
      <c r="AR31" s="170">
        <f t="shared" ref="AR31:AR32" si="9">AM31/AL31</f>
        <v>298.5</v>
      </c>
      <c r="AS31" s="170">
        <f t="shared" si="3"/>
        <v>0</v>
      </c>
      <c r="AT31" s="208">
        <f t="shared" si="4"/>
        <v>0</v>
      </c>
      <c r="AU31" s="170">
        <f t="shared" si="5"/>
        <v>0</v>
      </c>
      <c r="AV31" s="22">
        <v>0</v>
      </c>
    </row>
    <row r="32" spans="1:48" s="103" customFormat="1" ht="26.25" customHeight="1">
      <c r="A32" s="283"/>
      <c r="B32" s="101"/>
      <c r="C32" s="101"/>
      <c r="D32" s="22">
        <v>16</v>
      </c>
      <c r="E32" s="104" t="s">
        <v>24</v>
      </c>
      <c r="F32" s="51" t="s">
        <v>198</v>
      </c>
      <c r="G32" s="275" t="s">
        <v>114</v>
      </c>
      <c r="H32" s="115" t="s">
        <v>91</v>
      </c>
      <c r="I32" s="115" t="s">
        <v>91</v>
      </c>
      <c r="J32" s="115"/>
      <c r="K32" s="115"/>
      <c r="L32" s="276"/>
      <c r="M32" s="277">
        <f t="shared" si="0"/>
        <v>0</v>
      </c>
      <c r="N32" s="276">
        <f t="shared" si="1"/>
        <v>0</v>
      </c>
      <c r="O32" s="115"/>
      <c r="P32" s="276"/>
      <c r="Q32" s="115"/>
      <c r="R32" s="276"/>
      <c r="S32" s="115"/>
      <c r="T32" s="276"/>
      <c r="U32" s="278"/>
      <c r="V32" s="115" t="s">
        <v>59</v>
      </c>
      <c r="W32" s="114">
        <v>43061</v>
      </c>
      <c r="X32" s="115"/>
      <c r="Y32" s="115"/>
      <c r="Z32" s="115"/>
      <c r="AA32" s="115"/>
      <c r="AB32" s="35">
        <v>36</v>
      </c>
      <c r="AC32" s="170">
        <v>10746</v>
      </c>
      <c r="AD32" s="208"/>
      <c r="AE32" s="170"/>
      <c r="AF32" s="208"/>
      <c r="AG32" s="170"/>
      <c r="AH32" s="208"/>
      <c r="AI32" s="170"/>
      <c r="AJ32" s="208">
        <f t="shared" si="6"/>
        <v>0</v>
      </c>
      <c r="AK32" s="170">
        <f t="shared" si="7"/>
        <v>0</v>
      </c>
      <c r="AL32" s="35">
        <f>25+11</f>
        <v>36</v>
      </c>
      <c r="AM32" s="170">
        <f>7462.5+3283.5</f>
        <v>10746</v>
      </c>
      <c r="AN32" s="35">
        <f t="shared" si="8"/>
        <v>0</v>
      </c>
      <c r="AO32" s="170">
        <f t="shared" si="2"/>
        <v>0</v>
      </c>
      <c r="AP32" s="208"/>
      <c r="AQ32" s="208"/>
      <c r="AR32" s="170">
        <f t="shared" si="9"/>
        <v>298.5</v>
      </c>
      <c r="AS32" s="170">
        <f t="shared" si="3"/>
        <v>0</v>
      </c>
      <c r="AT32" s="208">
        <f t="shared" si="4"/>
        <v>0</v>
      </c>
      <c r="AU32" s="170">
        <f t="shared" si="5"/>
        <v>0</v>
      </c>
      <c r="AV32" s="22">
        <v>0</v>
      </c>
    </row>
    <row r="33" spans="1:48" s="62" customFormat="1" ht="26.25" customHeight="1">
      <c r="A33" s="59"/>
      <c r="B33" s="60"/>
      <c r="C33" s="60"/>
      <c r="D33" s="22">
        <v>17</v>
      </c>
      <c r="E33" s="79" t="s">
        <v>24</v>
      </c>
      <c r="F33" s="155" t="s">
        <v>55</v>
      </c>
      <c r="G33" s="222" t="s">
        <v>114</v>
      </c>
      <c r="H33" s="193" t="s">
        <v>91</v>
      </c>
      <c r="I33" s="193" t="s">
        <v>91</v>
      </c>
      <c r="J33" s="193"/>
      <c r="K33" s="193"/>
      <c r="L33" s="243"/>
      <c r="M33" s="242">
        <f t="shared" si="0"/>
        <v>0</v>
      </c>
      <c r="N33" s="243">
        <f t="shared" si="1"/>
        <v>0</v>
      </c>
      <c r="O33" s="193"/>
      <c r="P33" s="243"/>
      <c r="Q33" s="193"/>
      <c r="R33" s="243"/>
      <c r="S33" s="193"/>
      <c r="T33" s="243"/>
      <c r="U33" s="203"/>
      <c r="V33" s="115" t="s">
        <v>59</v>
      </c>
      <c r="W33" s="114">
        <v>43061</v>
      </c>
      <c r="X33" s="193" t="s">
        <v>199</v>
      </c>
      <c r="Y33" s="200">
        <v>43068</v>
      </c>
      <c r="Z33" s="193"/>
      <c r="AA33" s="193"/>
      <c r="AB33" s="35">
        <v>86</v>
      </c>
      <c r="AC33" s="170">
        <v>25671</v>
      </c>
      <c r="AD33" s="209"/>
      <c r="AE33" s="194"/>
      <c r="AF33" s="209"/>
      <c r="AG33" s="194"/>
      <c r="AH33" s="209"/>
      <c r="AI33" s="194"/>
      <c r="AJ33" s="233">
        <f t="shared" si="6"/>
        <v>0</v>
      </c>
      <c r="AK33" s="170">
        <f t="shared" si="7"/>
        <v>0</v>
      </c>
      <c r="AL33" s="272">
        <v>34</v>
      </c>
      <c r="AM33" s="212">
        <f>10149</f>
        <v>10149</v>
      </c>
      <c r="AN33" s="269">
        <f t="shared" si="8"/>
        <v>52</v>
      </c>
      <c r="AO33" s="217">
        <f t="shared" si="2"/>
        <v>15522</v>
      </c>
      <c r="AP33" s="232"/>
      <c r="AQ33" s="229"/>
      <c r="AR33" s="212">
        <v>298.5</v>
      </c>
      <c r="AS33" s="212">
        <f t="shared" si="3"/>
        <v>0</v>
      </c>
      <c r="AT33" s="261">
        <f t="shared" si="4"/>
        <v>52</v>
      </c>
      <c r="AU33" s="262">
        <f t="shared" si="5"/>
        <v>15522</v>
      </c>
      <c r="AV33" s="267">
        <v>52</v>
      </c>
    </row>
    <row r="34" spans="1:48" s="103" customFormat="1" ht="26.25" customHeight="1">
      <c r="A34" s="283"/>
      <c r="B34" s="101"/>
      <c r="C34" s="101"/>
      <c r="D34" s="22">
        <v>18</v>
      </c>
      <c r="E34" s="104" t="s">
        <v>24</v>
      </c>
      <c r="F34" s="51" t="s">
        <v>200</v>
      </c>
      <c r="G34" s="275" t="s">
        <v>140</v>
      </c>
      <c r="H34" s="115" t="s">
        <v>91</v>
      </c>
      <c r="I34" s="115" t="s">
        <v>91</v>
      </c>
      <c r="J34" s="115"/>
      <c r="K34" s="115"/>
      <c r="L34" s="276"/>
      <c r="M34" s="277">
        <f t="shared" si="0"/>
        <v>0</v>
      </c>
      <c r="N34" s="276">
        <f t="shared" si="1"/>
        <v>0</v>
      </c>
      <c r="O34" s="115"/>
      <c r="P34" s="276"/>
      <c r="Q34" s="115"/>
      <c r="R34" s="276"/>
      <c r="S34" s="115"/>
      <c r="T34" s="276"/>
      <c r="U34" s="278"/>
      <c r="V34" s="115">
        <v>1379</v>
      </c>
      <c r="W34" s="114">
        <v>43046</v>
      </c>
      <c r="X34" s="115"/>
      <c r="Y34" s="115"/>
      <c r="Z34" s="115"/>
      <c r="AA34" s="115"/>
      <c r="AB34" s="35">
        <v>18</v>
      </c>
      <c r="AC34" s="170">
        <v>5398.2</v>
      </c>
      <c r="AD34" s="208"/>
      <c r="AE34" s="170"/>
      <c r="AF34" s="208"/>
      <c r="AG34" s="170"/>
      <c r="AH34" s="208"/>
      <c r="AI34" s="170"/>
      <c r="AJ34" s="208">
        <f t="shared" si="6"/>
        <v>0</v>
      </c>
      <c r="AK34" s="170">
        <f t="shared" si="7"/>
        <v>0</v>
      </c>
      <c r="AL34" s="35">
        <v>18</v>
      </c>
      <c r="AM34" s="170">
        <v>5398.2</v>
      </c>
      <c r="AN34" s="35">
        <f t="shared" si="8"/>
        <v>0</v>
      </c>
      <c r="AO34" s="170">
        <f t="shared" si="2"/>
        <v>0</v>
      </c>
      <c r="AP34" s="208"/>
      <c r="AQ34" s="208"/>
      <c r="AR34" s="170"/>
      <c r="AS34" s="170">
        <f t="shared" si="3"/>
        <v>0</v>
      </c>
      <c r="AT34" s="208">
        <f t="shared" si="4"/>
        <v>0</v>
      </c>
      <c r="AU34" s="170">
        <f t="shared" si="5"/>
        <v>0</v>
      </c>
      <c r="AV34" s="22">
        <v>0</v>
      </c>
    </row>
    <row r="35" spans="1:48" s="62" customFormat="1" ht="26.25" customHeight="1">
      <c r="A35" s="59"/>
      <c r="B35" s="60"/>
      <c r="C35" s="60"/>
      <c r="D35" s="22">
        <v>19</v>
      </c>
      <c r="E35" s="79" t="s">
        <v>24</v>
      </c>
      <c r="F35" s="173" t="s">
        <v>56</v>
      </c>
      <c r="G35" s="222" t="s">
        <v>140</v>
      </c>
      <c r="H35" s="193" t="s">
        <v>91</v>
      </c>
      <c r="I35" s="193" t="s">
        <v>91</v>
      </c>
      <c r="J35" s="193"/>
      <c r="K35" s="193"/>
      <c r="L35" s="243"/>
      <c r="M35" s="242">
        <f t="shared" si="0"/>
        <v>0</v>
      </c>
      <c r="N35" s="243">
        <f t="shared" si="1"/>
        <v>0</v>
      </c>
      <c r="O35" s="193"/>
      <c r="P35" s="243"/>
      <c r="Q35" s="193"/>
      <c r="R35" s="243"/>
      <c r="S35" s="193"/>
      <c r="T35" s="243"/>
      <c r="U35" s="203" t="s">
        <v>157</v>
      </c>
      <c r="V35" s="115">
        <v>1476</v>
      </c>
      <c r="W35" s="114">
        <v>43066</v>
      </c>
      <c r="X35" s="193" t="s">
        <v>201</v>
      </c>
      <c r="Y35" s="200">
        <v>43068</v>
      </c>
      <c r="Z35" s="193" t="s">
        <v>210</v>
      </c>
      <c r="AA35" s="200">
        <v>43073</v>
      </c>
      <c r="AB35" s="35">
        <v>162</v>
      </c>
      <c r="AC35" s="170">
        <v>48583.8</v>
      </c>
      <c r="AD35" s="209"/>
      <c r="AE35" s="194"/>
      <c r="AF35" s="209"/>
      <c r="AG35" s="194"/>
      <c r="AH35" s="209"/>
      <c r="AI35" s="194"/>
      <c r="AJ35" s="233">
        <f t="shared" si="6"/>
        <v>0</v>
      </c>
      <c r="AK35" s="170">
        <f t="shared" si="7"/>
        <v>0</v>
      </c>
      <c r="AL35" s="272">
        <f>20+60+60</f>
        <v>140</v>
      </c>
      <c r="AM35" s="212">
        <f>5998+17994</f>
        <v>23992</v>
      </c>
      <c r="AN35" s="269">
        <v>82</v>
      </c>
      <c r="AO35" s="217">
        <f t="shared" si="2"/>
        <v>24591.800000000003</v>
      </c>
      <c r="AP35" s="232"/>
      <c r="AQ35" s="229">
        <v>60</v>
      </c>
      <c r="AR35" s="212">
        <v>299.89999999999998</v>
      </c>
      <c r="AS35" s="212">
        <f t="shared" si="3"/>
        <v>17994</v>
      </c>
      <c r="AT35" s="261">
        <f t="shared" si="4"/>
        <v>22</v>
      </c>
      <c r="AU35" s="262">
        <f>AT35*AR35</f>
        <v>6597.7999999999993</v>
      </c>
      <c r="AV35" s="267">
        <v>22</v>
      </c>
    </row>
    <row r="36" spans="1:48" s="103" customFormat="1" ht="24" customHeight="1">
      <c r="A36" s="283"/>
      <c r="B36" s="101"/>
      <c r="C36" s="101"/>
      <c r="D36" s="22">
        <v>20</v>
      </c>
      <c r="E36" s="104" t="s">
        <v>24</v>
      </c>
      <c r="F36" s="51" t="s">
        <v>43</v>
      </c>
      <c r="G36" s="275" t="s">
        <v>163</v>
      </c>
      <c r="H36" s="115" t="s">
        <v>91</v>
      </c>
      <c r="I36" s="115" t="s">
        <v>91</v>
      </c>
      <c r="J36" s="115"/>
      <c r="K36" s="115"/>
      <c r="L36" s="276"/>
      <c r="M36" s="277">
        <f t="shared" si="0"/>
        <v>0</v>
      </c>
      <c r="N36" s="276">
        <f t="shared" si="1"/>
        <v>0</v>
      </c>
      <c r="O36" s="115"/>
      <c r="P36" s="276"/>
      <c r="Q36" s="115"/>
      <c r="R36" s="276"/>
      <c r="S36" s="115"/>
      <c r="T36" s="276"/>
      <c r="U36" s="278"/>
      <c r="V36" s="115">
        <v>1381</v>
      </c>
      <c r="W36" s="114">
        <v>43047</v>
      </c>
      <c r="X36" s="115"/>
      <c r="Y36" s="115"/>
      <c r="Z36" s="115"/>
      <c r="AA36" s="115"/>
      <c r="AB36" s="35">
        <v>40</v>
      </c>
      <c r="AC36" s="170">
        <v>21408.799999999999</v>
      </c>
      <c r="AD36" s="208"/>
      <c r="AE36" s="170"/>
      <c r="AF36" s="208"/>
      <c r="AG36" s="170"/>
      <c r="AH36" s="208"/>
      <c r="AI36" s="170"/>
      <c r="AJ36" s="208">
        <f t="shared" si="6"/>
        <v>0</v>
      </c>
      <c r="AK36" s="170">
        <f t="shared" si="7"/>
        <v>0</v>
      </c>
      <c r="AL36" s="35">
        <v>40</v>
      </c>
      <c r="AM36" s="170">
        <v>21408.799999999999</v>
      </c>
      <c r="AN36" s="35">
        <f t="shared" si="8"/>
        <v>0</v>
      </c>
      <c r="AO36" s="170">
        <f t="shared" si="2"/>
        <v>0</v>
      </c>
      <c r="AP36" s="208"/>
      <c r="AQ36" s="208"/>
      <c r="AR36" s="170"/>
      <c r="AS36" s="170">
        <f t="shared" si="3"/>
        <v>0</v>
      </c>
      <c r="AT36" s="208">
        <f t="shared" si="4"/>
        <v>0</v>
      </c>
      <c r="AU36" s="170">
        <f t="shared" si="5"/>
        <v>0</v>
      </c>
      <c r="AV36" s="22">
        <v>0</v>
      </c>
    </row>
    <row r="37" spans="1:48" s="62" customFormat="1" ht="24" customHeight="1">
      <c r="A37" s="59"/>
      <c r="B37" s="60"/>
      <c r="C37" s="60"/>
      <c r="D37" s="22">
        <v>21</v>
      </c>
      <c r="E37" s="79" t="s">
        <v>24</v>
      </c>
      <c r="F37" s="162" t="s">
        <v>43</v>
      </c>
      <c r="G37" s="222" t="s">
        <v>163</v>
      </c>
      <c r="H37" s="193" t="s">
        <v>91</v>
      </c>
      <c r="I37" s="193" t="s">
        <v>91</v>
      </c>
      <c r="J37" s="193"/>
      <c r="K37" s="193"/>
      <c r="L37" s="243"/>
      <c r="M37" s="242">
        <f t="shared" si="0"/>
        <v>0</v>
      </c>
      <c r="N37" s="243">
        <f t="shared" si="1"/>
        <v>0</v>
      </c>
      <c r="O37" s="193"/>
      <c r="P37" s="243"/>
      <c r="Q37" s="193"/>
      <c r="R37" s="243"/>
      <c r="S37" s="193"/>
      <c r="T37" s="243"/>
      <c r="U37" s="203" t="s">
        <v>202</v>
      </c>
      <c r="V37" s="115">
        <v>1353</v>
      </c>
      <c r="W37" s="114">
        <v>43040</v>
      </c>
      <c r="X37" s="193" t="s">
        <v>203</v>
      </c>
      <c r="Y37" s="200">
        <v>43068</v>
      </c>
      <c r="Z37" s="193"/>
      <c r="AA37" s="193"/>
      <c r="AB37" s="35">
        <v>210</v>
      </c>
      <c r="AC37" s="170">
        <v>112396.2</v>
      </c>
      <c r="AD37" s="209"/>
      <c r="AE37" s="194"/>
      <c r="AF37" s="209"/>
      <c r="AG37" s="194"/>
      <c r="AH37" s="209"/>
      <c r="AI37" s="194"/>
      <c r="AJ37" s="233">
        <f t="shared" si="6"/>
        <v>0</v>
      </c>
      <c r="AK37" s="170">
        <f t="shared" si="7"/>
        <v>0</v>
      </c>
      <c r="AL37" s="272">
        <f>55+20+30</f>
        <v>105</v>
      </c>
      <c r="AM37" s="212">
        <f>29437.1+10704.4+16056.6</f>
        <v>56198.1</v>
      </c>
      <c r="AN37" s="269">
        <f t="shared" si="8"/>
        <v>105</v>
      </c>
      <c r="AO37" s="217">
        <f t="shared" si="2"/>
        <v>56198.1</v>
      </c>
      <c r="AP37" s="232"/>
      <c r="AQ37" s="229"/>
      <c r="AR37" s="212">
        <v>535.22</v>
      </c>
      <c r="AS37" s="212">
        <f t="shared" si="3"/>
        <v>0</v>
      </c>
      <c r="AT37" s="261">
        <f t="shared" si="4"/>
        <v>105</v>
      </c>
      <c r="AU37" s="262">
        <f t="shared" si="5"/>
        <v>56198.100000000006</v>
      </c>
      <c r="AV37" s="267">
        <v>105</v>
      </c>
    </row>
    <row r="38" spans="1:48" s="62" customFormat="1" ht="24" customHeight="1">
      <c r="A38" s="59"/>
      <c r="B38" s="60"/>
      <c r="C38" s="60"/>
      <c r="D38" s="22">
        <v>22</v>
      </c>
      <c r="E38" s="79" t="s">
        <v>24</v>
      </c>
      <c r="F38" s="162" t="s">
        <v>43</v>
      </c>
      <c r="G38" s="222" t="s">
        <v>163</v>
      </c>
      <c r="H38" s="193" t="s">
        <v>91</v>
      </c>
      <c r="I38" s="193" t="s">
        <v>91</v>
      </c>
      <c r="J38" s="193">
        <v>96</v>
      </c>
      <c r="K38" s="193">
        <v>2</v>
      </c>
      <c r="L38" s="243">
        <v>543.58000000000004</v>
      </c>
      <c r="M38" s="242">
        <f t="shared" si="0"/>
        <v>192</v>
      </c>
      <c r="N38" s="243">
        <f t="shared" si="1"/>
        <v>104367.36000000002</v>
      </c>
      <c r="O38" s="193">
        <v>250</v>
      </c>
      <c r="P38" s="243">
        <v>123662.5</v>
      </c>
      <c r="Q38" s="193">
        <v>231</v>
      </c>
      <c r="R38" s="243">
        <v>123617.34</v>
      </c>
      <c r="S38" s="193">
        <v>502</v>
      </c>
      <c r="T38" s="243">
        <v>272877.15999999997</v>
      </c>
      <c r="U38" s="203" t="s">
        <v>164</v>
      </c>
      <c r="V38" s="115">
        <v>834</v>
      </c>
      <c r="W38" s="114">
        <v>43222</v>
      </c>
      <c r="X38" s="193" t="s">
        <v>162</v>
      </c>
      <c r="Y38" s="200">
        <v>43242</v>
      </c>
      <c r="Z38" s="193"/>
      <c r="AA38" s="193"/>
      <c r="AB38" s="35">
        <v>0</v>
      </c>
      <c r="AC38" s="170">
        <v>0</v>
      </c>
      <c r="AD38" s="209">
        <v>15</v>
      </c>
      <c r="AE38" s="194">
        <v>8028.3</v>
      </c>
      <c r="AF38" s="209"/>
      <c r="AG38" s="194"/>
      <c r="AH38" s="209"/>
      <c r="AI38" s="194"/>
      <c r="AJ38" s="233">
        <f t="shared" si="6"/>
        <v>15</v>
      </c>
      <c r="AK38" s="170">
        <f t="shared" si="7"/>
        <v>8028.3</v>
      </c>
      <c r="AL38" s="272">
        <v>0</v>
      </c>
      <c r="AM38" s="212">
        <v>0</v>
      </c>
      <c r="AN38" s="269">
        <f t="shared" si="8"/>
        <v>15</v>
      </c>
      <c r="AO38" s="217">
        <f t="shared" si="2"/>
        <v>8028.3</v>
      </c>
      <c r="AP38" s="232"/>
      <c r="AQ38" s="229"/>
      <c r="AR38" s="212">
        <v>535.22</v>
      </c>
      <c r="AS38" s="212">
        <f t="shared" si="3"/>
        <v>0</v>
      </c>
      <c r="AT38" s="261">
        <f t="shared" si="4"/>
        <v>15</v>
      </c>
      <c r="AU38" s="262">
        <f t="shared" si="5"/>
        <v>8028.3</v>
      </c>
      <c r="AV38" s="267">
        <v>15</v>
      </c>
    </row>
    <row r="39" spans="1:48" s="62" customFormat="1" ht="24" customHeight="1">
      <c r="A39" s="59"/>
      <c r="B39" s="60"/>
      <c r="C39" s="60"/>
      <c r="D39" s="22">
        <v>23</v>
      </c>
      <c r="E39" s="79" t="s">
        <v>24</v>
      </c>
      <c r="F39" s="161" t="s">
        <v>48</v>
      </c>
      <c r="G39" s="222" t="s">
        <v>152</v>
      </c>
      <c r="H39" s="193" t="s">
        <v>91</v>
      </c>
      <c r="I39" s="193" t="s">
        <v>91</v>
      </c>
      <c r="J39" s="193"/>
      <c r="K39" s="193"/>
      <c r="L39" s="243"/>
      <c r="M39" s="242">
        <f t="shared" si="0"/>
        <v>0</v>
      </c>
      <c r="N39" s="243">
        <f t="shared" si="1"/>
        <v>0</v>
      </c>
      <c r="O39" s="193"/>
      <c r="P39" s="243"/>
      <c r="Q39" s="193"/>
      <c r="R39" s="243"/>
      <c r="S39" s="193"/>
      <c r="T39" s="243"/>
      <c r="U39" s="203" t="s">
        <v>204</v>
      </c>
      <c r="V39" s="115">
        <v>1405</v>
      </c>
      <c r="W39" s="114">
        <v>43052</v>
      </c>
      <c r="X39" s="193"/>
      <c r="Y39" s="193"/>
      <c r="Z39" s="193"/>
      <c r="AA39" s="193"/>
      <c r="AB39" s="35">
        <v>120</v>
      </c>
      <c r="AC39" s="170">
        <v>58734</v>
      </c>
      <c r="AD39" s="209"/>
      <c r="AE39" s="194"/>
      <c r="AF39" s="209"/>
      <c r="AG39" s="194"/>
      <c r="AH39" s="209"/>
      <c r="AI39" s="194"/>
      <c r="AJ39" s="233">
        <f t="shared" si="6"/>
        <v>0</v>
      </c>
      <c r="AK39" s="170">
        <f t="shared" si="7"/>
        <v>0</v>
      </c>
      <c r="AL39" s="272">
        <f>15+30+10+25+20+20</f>
        <v>120</v>
      </c>
      <c r="AM39" s="212">
        <f>7341.75+14683.5+4894.5+12236.25+9789</f>
        <v>48945</v>
      </c>
      <c r="AN39" s="269">
        <v>20</v>
      </c>
      <c r="AO39" s="217">
        <f t="shared" si="2"/>
        <v>9789</v>
      </c>
      <c r="AP39" s="232"/>
      <c r="AQ39" s="229">
        <v>20</v>
      </c>
      <c r="AR39" s="212">
        <v>489.45</v>
      </c>
      <c r="AS39" s="212">
        <f t="shared" si="3"/>
        <v>9789</v>
      </c>
      <c r="AT39" s="261">
        <f t="shared" si="4"/>
        <v>0</v>
      </c>
      <c r="AU39" s="262">
        <f t="shared" si="5"/>
        <v>0</v>
      </c>
      <c r="AV39" s="267">
        <v>0</v>
      </c>
    </row>
    <row r="40" spans="1:48" s="62" customFormat="1" ht="24" customHeight="1">
      <c r="A40" s="59"/>
      <c r="B40" s="60"/>
      <c r="C40" s="60"/>
      <c r="D40" s="22">
        <v>24</v>
      </c>
      <c r="E40" s="79" t="s">
        <v>24</v>
      </c>
      <c r="F40" s="51" t="s">
        <v>48</v>
      </c>
      <c r="G40" s="275" t="s">
        <v>152</v>
      </c>
      <c r="H40" s="115" t="s">
        <v>91</v>
      </c>
      <c r="I40" s="115" t="s">
        <v>91</v>
      </c>
      <c r="J40" s="115"/>
      <c r="K40" s="115"/>
      <c r="L40" s="276"/>
      <c r="M40" s="277">
        <f t="shared" si="0"/>
        <v>0</v>
      </c>
      <c r="N40" s="276">
        <f t="shared" si="1"/>
        <v>0</v>
      </c>
      <c r="O40" s="115"/>
      <c r="P40" s="276"/>
      <c r="Q40" s="115"/>
      <c r="R40" s="276"/>
      <c r="S40" s="115"/>
      <c r="T40" s="276"/>
      <c r="U40" s="278"/>
      <c r="V40" s="115">
        <v>1476</v>
      </c>
      <c r="W40" s="114">
        <v>43066</v>
      </c>
      <c r="X40" s="115" t="s">
        <v>201</v>
      </c>
      <c r="Y40" s="221">
        <v>43068</v>
      </c>
      <c r="Z40" s="115" t="s">
        <v>210</v>
      </c>
      <c r="AA40" s="221">
        <v>43073</v>
      </c>
      <c r="AB40" s="35">
        <v>30</v>
      </c>
      <c r="AC40" s="170">
        <v>14683.5</v>
      </c>
      <c r="AD40" s="208"/>
      <c r="AE40" s="170"/>
      <c r="AF40" s="208"/>
      <c r="AG40" s="170"/>
      <c r="AH40" s="208"/>
      <c r="AI40" s="170"/>
      <c r="AJ40" s="233">
        <f t="shared" si="6"/>
        <v>0</v>
      </c>
      <c r="AK40" s="170">
        <f t="shared" si="7"/>
        <v>0</v>
      </c>
      <c r="AL40" s="270">
        <v>30</v>
      </c>
      <c r="AM40" s="170">
        <v>14683.5</v>
      </c>
      <c r="AN40" s="270">
        <f t="shared" si="8"/>
        <v>0</v>
      </c>
      <c r="AO40" s="170">
        <f t="shared" si="2"/>
        <v>0</v>
      </c>
      <c r="AP40" s="233"/>
      <c r="AQ40" s="233"/>
      <c r="AR40" s="170"/>
      <c r="AS40" s="170">
        <f t="shared" si="3"/>
        <v>0</v>
      </c>
      <c r="AT40" s="208">
        <f t="shared" si="4"/>
        <v>0</v>
      </c>
      <c r="AU40" s="170">
        <f t="shared" si="5"/>
        <v>0</v>
      </c>
      <c r="AV40" s="22">
        <v>0</v>
      </c>
    </row>
    <row r="41" spans="1:48" s="62" customFormat="1" ht="24" customHeight="1">
      <c r="A41" s="59"/>
      <c r="B41" s="60"/>
      <c r="C41" s="60"/>
      <c r="D41" s="22">
        <v>25</v>
      </c>
      <c r="E41" s="79" t="s">
        <v>24</v>
      </c>
      <c r="F41" s="161" t="s">
        <v>48</v>
      </c>
      <c r="G41" s="222" t="s">
        <v>152</v>
      </c>
      <c r="H41" s="193" t="s">
        <v>91</v>
      </c>
      <c r="I41" s="193" t="s">
        <v>91</v>
      </c>
      <c r="J41" s="193">
        <v>360</v>
      </c>
      <c r="K41" s="193">
        <v>2</v>
      </c>
      <c r="L41" s="243">
        <v>497.09</v>
      </c>
      <c r="M41" s="242">
        <f t="shared" si="0"/>
        <v>720</v>
      </c>
      <c r="N41" s="243">
        <f t="shared" si="1"/>
        <v>357904.8</v>
      </c>
      <c r="O41" s="193">
        <v>150</v>
      </c>
      <c r="P41" s="243">
        <v>67861.5</v>
      </c>
      <c r="Q41" s="193">
        <v>300</v>
      </c>
      <c r="R41" s="243">
        <v>146787</v>
      </c>
      <c r="S41" s="193">
        <v>490</v>
      </c>
      <c r="T41" s="243">
        <v>243574.1</v>
      </c>
      <c r="U41" s="203" t="s">
        <v>151</v>
      </c>
      <c r="V41" s="115">
        <v>546</v>
      </c>
      <c r="W41" s="114">
        <v>43182</v>
      </c>
      <c r="X41" s="193" t="s">
        <v>149</v>
      </c>
      <c r="Y41" s="200">
        <v>43201</v>
      </c>
      <c r="Z41" s="193" t="s">
        <v>147</v>
      </c>
      <c r="AA41" s="200">
        <v>43252</v>
      </c>
      <c r="AB41" s="35">
        <v>0</v>
      </c>
      <c r="AC41" s="170">
        <v>0</v>
      </c>
      <c r="AD41" s="209">
        <v>65</v>
      </c>
      <c r="AE41" s="194">
        <v>31814.25</v>
      </c>
      <c r="AF41" s="209"/>
      <c r="AG41" s="194"/>
      <c r="AH41" s="209"/>
      <c r="AI41" s="194"/>
      <c r="AJ41" s="233">
        <f t="shared" si="6"/>
        <v>65</v>
      </c>
      <c r="AK41" s="170">
        <f t="shared" si="7"/>
        <v>31814.25</v>
      </c>
      <c r="AL41" s="272">
        <v>0</v>
      </c>
      <c r="AM41" s="212">
        <v>0</v>
      </c>
      <c r="AN41" s="269">
        <f t="shared" si="8"/>
        <v>65</v>
      </c>
      <c r="AO41" s="217">
        <f t="shared" si="2"/>
        <v>31814.25</v>
      </c>
      <c r="AP41" s="232"/>
      <c r="AQ41" s="229"/>
      <c r="AR41" s="212">
        <v>489.45</v>
      </c>
      <c r="AS41" s="212">
        <f t="shared" si="3"/>
        <v>0</v>
      </c>
      <c r="AT41" s="261">
        <f t="shared" si="4"/>
        <v>65</v>
      </c>
      <c r="AU41" s="262">
        <f t="shared" si="5"/>
        <v>31814.25</v>
      </c>
      <c r="AV41" s="267">
        <v>65</v>
      </c>
    </row>
    <row r="42" spans="1:48" s="134" customFormat="1" ht="27" customHeight="1">
      <c r="A42" s="131"/>
      <c r="B42" s="132"/>
      <c r="C42" s="60"/>
      <c r="D42" s="22">
        <v>26</v>
      </c>
      <c r="E42" s="79" t="s">
        <v>24</v>
      </c>
      <c r="F42" s="149" t="s">
        <v>44</v>
      </c>
      <c r="G42" s="222" t="s">
        <v>116</v>
      </c>
      <c r="H42" s="193" t="s">
        <v>91</v>
      </c>
      <c r="I42" s="193" t="s">
        <v>91</v>
      </c>
      <c r="J42" s="193">
        <v>1750</v>
      </c>
      <c r="K42" s="193">
        <v>2</v>
      </c>
      <c r="L42" s="243">
        <v>199.06</v>
      </c>
      <c r="M42" s="242">
        <f t="shared" si="0"/>
        <v>3500</v>
      </c>
      <c r="N42" s="243">
        <f t="shared" si="1"/>
        <v>696710</v>
      </c>
      <c r="O42" s="193">
        <v>1000</v>
      </c>
      <c r="P42" s="243">
        <v>255340</v>
      </c>
      <c r="Q42" s="193"/>
      <c r="R42" s="243"/>
      <c r="S42" s="193">
        <v>368</v>
      </c>
      <c r="T42" s="243">
        <v>73254.080000000002</v>
      </c>
      <c r="U42" s="203" t="s">
        <v>119</v>
      </c>
      <c r="V42" s="115">
        <v>1583</v>
      </c>
      <c r="W42" s="114">
        <v>43082</v>
      </c>
      <c r="X42" s="193" t="s">
        <v>113</v>
      </c>
      <c r="Y42" s="200">
        <v>43109</v>
      </c>
      <c r="Z42" s="193" t="s">
        <v>110</v>
      </c>
      <c r="AA42" s="200">
        <v>43111</v>
      </c>
      <c r="AB42" s="22">
        <v>0</v>
      </c>
      <c r="AC42" s="170">
        <v>0</v>
      </c>
      <c r="AD42" s="209">
        <v>50</v>
      </c>
      <c r="AE42" s="194">
        <v>10109</v>
      </c>
      <c r="AF42" s="209"/>
      <c r="AG42" s="194"/>
      <c r="AH42" s="209"/>
      <c r="AI42" s="194"/>
      <c r="AJ42" s="233">
        <f t="shared" si="6"/>
        <v>50</v>
      </c>
      <c r="AK42" s="170">
        <f t="shared" si="7"/>
        <v>10109</v>
      </c>
      <c r="AL42" s="272">
        <v>10</v>
      </c>
      <c r="AM42" s="212">
        <f>AL42*AR42</f>
        <v>2021.8000000000002</v>
      </c>
      <c r="AN42" s="269">
        <v>50</v>
      </c>
      <c r="AO42" s="217">
        <f t="shared" si="2"/>
        <v>8087.2</v>
      </c>
      <c r="AP42" s="232"/>
      <c r="AQ42" s="229">
        <v>10</v>
      </c>
      <c r="AR42" s="212">
        <v>202.18</v>
      </c>
      <c r="AS42" s="212">
        <f t="shared" si="3"/>
        <v>2021.8000000000002</v>
      </c>
      <c r="AT42" s="261">
        <f t="shared" si="4"/>
        <v>40</v>
      </c>
      <c r="AU42" s="262">
        <f t="shared" si="5"/>
        <v>8087.2000000000007</v>
      </c>
      <c r="AV42" s="267">
        <v>40</v>
      </c>
    </row>
    <row r="43" spans="1:48" s="139" customFormat="1" ht="27" customHeight="1">
      <c r="A43" s="136"/>
      <c r="B43" s="137"/>
      <c r="C43" s="60"/>
      <c r="D43" s="22">
        <v>27</v>
      </c>
      <c r="E43" s="79" t="s">
        <v>24</v>
      </c>
      <c r="F43" s="149" t="s">
        <v>54</v>
      </c>
      <c r="G43" s="222" t="s">
        <v>116</v>
      </c>
      <c r="H43" s="193" t="s">
        <v>91</v>
      </c>
      <c r="I43" s="193" t="s">
        <v>91</v>
      </c>
      <c r="J43" s="193"/>
      <c r="K43" s="193"/>
      <c r="L43" s="243"/>
      <c r="M43" s="242">
        <f t="shared" si="0"/>
        <v>0</v>
      </c>
      <c r="N43" s="243">
        <f t="shared" si="1"/>
        <v>0</v>
      </c>
      <c r="O43" s="193"/>
      <c r="P43" s="243"/>
      <c r="Q43" s="193"/>
      <c r="R43" s="243"/>
      <c r="S43" s="193"/>
      <c r="T43" s="243"/>
      <c r="U43" s="203" t="s">
        <v>119</v>
      </c>
      <c r="V43" s="115">
        <v>1745</v>
      </c>
      <c r="W43" s="114">
        <v>43096</v>
      </c>
      <c r="X43" s="193" t="s">
        <v>117</v>
      </c>
      <c r="Y43" s="200">
        <v>43109</v>
      </c>
      <c r="Z43" s="193" t="s">
        <v>118</v>
      </c>
      <c r="AA43" s="200">
        <v>43133</v>
      </c>
      <c r="AB43" s="22">
        <v>0</v>
      </c>
      <c r="AC43" s="170">
        <v>0</v>
      </c>
      <c r="AD43" s="209">
        <v>45</v>
      </c>
      <c r="AE43" s="194">
        <v>9098.1</v>
      </c>
      <c r="AF43" s="209"/>
      <c r="AG43" s="194"/>
      <c r="AH43" s="209"/>
      <c r="AI43" s="194"/>
      <c r="AJ43" s="233">
        <f t="shared" si="6"/>
        <v>45</v>
      </c>
      <c r="AK43" s="170">
        <f t="shared" si="7"/>
        <v>9098.1</v>
      </c>
      <c r="AL43" s="272">
        <v>0</v>
      </c>
      <c r="AM43" s="212">
        <v>0</v>
      </c>
      <c r="AN43" s="269">
        <f t="shared" si="8"/>
        <v>45</v>
      </c>
      <c r="AO43" s="217">
        <f t="shared" si="2"/>
        <v>9098.1</v>
      </c>
      <c r="AP43" s="232"/>
      <c r="AQ43" s="229"/>
      <c r="AR43" s="212">
        <v>202.18</v>
      </c>
      <c r="AS43" s="212">
        <f t="shared" si="3"/>
        <v>0</v>
      </c>
      <c r="AT43" s="261">
        <f t="shared" si="4"/>
        <v>45</v>
      </c>
      <c r="AU43" s="262">
        <f t="shared" si="5"/>
        <v>9098.1</v>
      </c>
      <c r="AV43" s="267">
        <v>45</v>
      </c>
    </row>
    <row r="44" spans="1:48" s="62" customFormat="1" ht="26.25" customHeight="1">
      <c r="A44" s="59"/>
      <c r="B44" s="60"/>
      <c r="C44" s="60"/>
      <c r="D44" s="22">
        <v>28</v>
      </c>
      <c r="E44" s="79" t="s">
        <v>24</v>
      </c>
      <c r="F44" s="149" t="s">
        <v>44</v>
      </c>
      <c r="G44" s="222" t="s">
        <v>116</v>
      </c>
      <c r="H44" s="193" t="s">
        <v>91</v>
      </c>
      <c r="I44" s="193" t="s">
        <v>91</v>
      </c>
      <c r="J44" s="193"/>
      <c r="K44" s="193"/>
      <c r="L44" s="243"/>
      <c r="M44" s="242">
        <f t="shared" si="0"/>
        <v>0</v>
      </c>
      <c r="N44" s="243">
        <f t="shared" si="1"/>
        <v>0</v>
      </c>
      <c r="O44" s="193"/>
      <c r="P44" s="243"/>
      <c r="Q44" s="193"/>
      <c r="R44" s="243"/>
      <c r="S44" s="193"/>
      <c r="T44" s="243"/>
      <c r="U44" s="203" t="s">
        <v>134</v>
      </c>
      <c r="V44" s="115">
        <v>426</v>
      </c>
      <c r="W44" s="114">
        <v>43164</v>
      </c>
      <c r="X44" s="193" t="s">
        <v>141</v>
      </c>
      <c r="Y44" s="200">
        <v>43164</v>
      </c>
      <c r="Z44" s="193" t="s">
        <v>142</v>
      </c>
      <c r="AA44" s="200">
        <v>43230</v>
      </c>
      <c r="AB44" s="22">
        <v>0</v>
      </c>
      <c r="AC44" s="170">
        <v>0</v>
      </c>
      <c r="AD44" s="209">
        <v>50</v>
      </c>
      <c r="AE44" s="194">
        <v>10109</v>
      </c>
      <c r="AF44" s="209"/>
      <c r="AG44" s="194"/>
      <c r="AH44" s="209"/>
      <c r="AI44" s="194"/>
      <c r="AJ44" s="233">
        <f t="shared" si="6"/>
        <v>50</v>
      </c>
      <c r="AK44" s="170">
        <f t="shared" si="7"/>
        <v>10109</v>
      </c>
      <c r="AL44" s="272">
        <v>0</v>
      </c>
      <c r="AM44" s="212">
        <v>0</v>
      </c>
      <c r="AN44" s="269">
        <f t="shared" si="8"/>
        <v>50</v>
      </c>
      <c r="AO44" s="217">
        <f t="shared" si="2"/>
        <v>10109</v>
      </c>
      <c r="AP44" s="232"/>
      <c r="AQ44" s="229"/>
      <c r="AR44" s="212">
        <v>202.18</v>
      </c>
      <c r="AS44" s="212">
        <f t="shared" si="3"/>
        <v>0</v>
      </c>
      <c r="AT44" s="261">
        <f t="shared" si="4"/>
        <v>50</v>
      </c>
      <c r="AU44" s="262">
        <f t="shared" si="5"/>
        <v>10109</v>
      </c>
      <c r="AV44" s="267">
        <v>50</v>
      </c>
    </row>
    <row r="45" spans="1:48" s="62" customFormat="1" ht="26.25" customHeight="1">
      <c r="A45" s="59"/>
      <c r="B45" s="60"/>
      <c r="C45" s="60"/>
      <c r="D45" s="22">
        <v>29</v>
      </c>
      <c r="E45" s="79" t="s">
        <v>24</v>
      </c>
      <c r="F45" s="149" t="s">
        <v>44</v>
      </c>
      <c r="G45" s="222" t="s">
        <v>116</v>
      </c>
      <c r="H45" s="193" t="s">
        <v>91</v>
      </c>
      <c r="I45" s="193" t="s">
        <v>91</v>
      </c>
      <c r="J45" s="193"/>
      <c r="K45" s="193"/>
      <c r="L45" s="243"/>
      <c r="M45" s="242">
        <f t="shared" si="0"/>
        <v>0</v>
      </c>
      <c r="N45" s="243">
        <f t="shared" si="1"/>
        <v>0</v>
      </c>
      <c r="O45" s="193"/>
      <c r="P45" s="243"/>
      <c r="Q45" s="193"/>
      <c r="R45" s="243"/>
      <c r="S45" s="193"/>
      <c r="T45" s="243"/>
      <c r="U45" s="203" t="s">
        <v>134</v>
      </c>
      <c r="V45" s="115">
        <v>260</v>
      </c>
      <c r="W45" s="114">
        <v>43145</v>
      </c>
      <c r="X45" s="193" t="s">
        <v>94</v>
      </c>
      <c r="Y45" s="200">
        <v>43164</v>
      </c>
      <c r="Z45" s="193"/>
      <c r="AA45" s="193"/>
      <c r="AB45" s="22">
        <v>0</v>
      </c>
      <c r="AC45" s="170">
        <v>0</v>
      </c>
      <c r="AD45" s="209">
        <v>110</v>
      </c>
      <c r="AE45" s="194">
        <v>22239.8</v>
      </c>
      <c r="AF45" s="209"/>
      <c r="AG45" s="194"/>
      <c r="AH45" s="209"/>
      <c r="AI45" s="194"/>
      <c r="AJ45" s="233">
        <f t="shared" si="6"/>
        <v>110</v>
      </c>
      <c r="AK45" s="170">
        <f t="shared" si="7"/>
        <v>22239.8</v>
      </c>
      <c r="AL45" s="272">
        <v>0</v>
      </c>
      <c r="AM45" s="212">
        <v>0</v>
      </c>
      <c r="AN45" s="269">
        <f t="shared" si="8"/>
        <v>110</v>
      </c>
      <c r="AO45" s="217">
        <f t="shared" si="2"/>
        <v>22239.8</v>
      </c>
      <c r="AP45" s="232"/>
      <c r="AQ45" s="229"/>
      <c r="AR45" s="212">
        <v>202.18</v>
      </c>
      <c r="AS45" s="212">
        <f t="shared" si="3"/>
        <v>0</v>
      </c>
      <c r="AT45" s="261">
        <f t="shared" si="4"/>
        <v>110</v>
      </c>
      <c r="AU45" s="262">
        <f t="shared" si="5"/>
        <v>22239.8</v>
      </c>
      <c r="AV45" s="267">
        <v>110</v>
      </c>
    </row>
    <row r="46" spans="1:48" s="62" customFormat="1" ht="26.25" customHeight="1">
      <c r="A46" s="59"/>
      <c r="B46" s="60"/>
      <c r="C46" s="60"/>
      <c r="D46" s="22">
        <v>30</v>
      </c>
      <c r="E46" s="79" t="s">
        <v>24</v>
      </c>
      <c r="F46" s="149" t="s">
        <v>44</v>
      </c>
      <c r="G46" s="222" t="s">
        <v>116</v>
      </c>
      <c r="H46" s="193" t="s">
        <v>91</v>
      </c>
      <c r="I46" s="193" t="s">
        <v>91</v>
      </c>
      <c r="J46" s="193"/>
      <c r="K46" s="193"/>
      <c r="L46" s="243"/>
      <c r="M46" s="242">
        <f t="shared" si="0"/>
        <v>0</v>
      </c>
      <c r="N46" s="243">
        <f t="shared" si="1"/>
        <v>0</v>
      </c>
      <c r="O46" s="193"/>
      <c r="P46" s="243"/>
      <c r="Q46" s="193"/>
      <c r="R46" s="243"/>
      <c r="S46" s="193"/>
      <c r="T46" s="243"/>
      <c r="U46" s="203" t="s">
        <v>150</v>
      </c>
      <c r="V46" s="115">
        <v>546</v>
      </c>
      <c r="W46" s="114">
        <v>43182</v>
      </c>
      <c r="X46" s="193" t="s">
        <v>149</v>
      </c>
      <c r="Y46" s="200">
        <v>43201</v>
      </c>
      <c r="Z46" s="193" t="s">
        <v>147</v>
      </c>
      <c r="AA46" s="200">
        <v>43252</v>
      </c>
      <c r="AB46" s="22">
        <v>0</v>
      </c>
      <c r="AC46" s="170">
        <v>0</v>
      </c>
      <c r="AD46" s="209">
        <v>105</v>
      </c>
      <c r="AE46" s="194">
        <v>21228.9</v>
      </c>
      <c r="AF46" s="209"/>
      <c r="AG46" s="194"/>
      <c r="AH46" s="209"/>
      <c r="AI46" s="194"/>
      <c r="AJ46" s="233">
        <f t="shared" si="6"/>
        <v>105</v>
      </c>
      <c r="AK46" s="170">
        <f t="shared" si="7"/>
        <v>21228.9</v>
      </c>
      <c r="AL46" s="272">
        <v>0</v>
      </c>
      <c r="AM46" s="212">
        <v>0</v>
      </c>
      <c r="AN46" s="269">
        <f t="shared" si="8"/>
        <v>105</v>
      </c>
      <c r="AO46" s="217">
        <f t="shared" si="2"/>
        <v>21228.9</v>
      </c>
      <c r="AP46" s="232"/>
      <c r="AQ46" s="229"/>
      <c r="AR46" s="212">
        <v>202.18</v>
      </c>
      <c r="AS46" s="212">
        <f t="shared" si="3"/>
        <v>0</v>
      </c>
      <c r="AT46" s="261">
        <f t="shared" si="4"/>
        <v>105</v>
      </c>
      <c r="AU46" s="262">
        <f t="shared" si="5"/>
        <v>21228.9</v>
      </c>
      <c r="AV46" s="267">
        <v>105</v>
      </c>
    </row>
    <row r="47" spans="1:48" s="62" customFormat="1" ht="26.25" customHeight="1">
      <c r="A47" s="59"/>
      <c r="B47" s="60"/>
      <c r="C47" s="60"/>
      <c r="D47" s="22">
        <v>31</v>
      </c>
      <c r="E47" s="79" t="s">
        <v>24</v>
      </c>
      <c r="F47" s="149" t="s">
        <v>44</v>
      </c>
      <c r="G47" s="222" t="s">
        <v>116</v>
      </c>
      <c r="H47" s="193" t="s">
        <v>91</v>
      </c>
      <c r="I47" s="193" t="s">
        <v>91</v>
      </c>
      <c r="J47" s="193"/>
      <c r="K47" s="193"/>
      <c r="L47" s="243"/>
      <c r="M47" s="242">
        <f t="shared" si="0"/>
        <v>0</v>
      </c>
      <c r="N47" s="243">
        <f t="shared" si="1"/>
        <v>0</v>
      </c>
      <c r="O47" s="193"/>
      <c r="P47" s="243"/>
      <c r="Q47" s="193"/>
      <c r="R47" s="243"/>
      <c r="S47" s="193"/>
      <c r="T47" s="243"/>
      <c r="U47" s="203" t="s">
        <v>150</v>
      </c>
      <c r="V47" s="115">
        <v>659</v>
      </c>
      <c r="W47" s="114">
        <v>43201</v>
      </c>
      <c r="X47" s="193" t="s">
        <v>159</v>
      </c>
      <c r="Y47" s="200">
        <v>43213</v>
      </c>
      <c r="Z47" s="193" t="s">
        <v>160</v>
      </c>
      <c r="AA47" s="200">
        <v>43255</v>
      </c>
      <c r="AB47" s="22">
        <v>0</v>
      </c>
      <c r="AC47" s="170">
        <v>0</v>
      </c>
      <c r="AD47" s="209">
        <v>80</v>
      </c>
      <c r="AE47" s="194">
        <v>16174.4</v>
      </c>
      <c r="AF47" s="209"/>
      <c r="AG47" s="194"/>
      <c r="AH47" s="209"/>
      <c r="AI47" s="194"/>
      <c r="AJ47" s="233">
        <f t="shared" si="6"/>
        <v>80</v>
      </c>
      <c r="AK47" s="170">
        <f t="shared" si="7"/>
        <v>16174.4</v>
      </c>
      <c r="AL47" s="272">
        <v>0</v>
      </c>
      <c r="AM47" s="212">
        <v>0</v>
      </c>
      <c r="AN47" s="269">
        <f t="shared" si="8"/>
        <v>80</v>
      </c>
      <c r="AO47" s="217">
        <f t="shared" si="2"/>
        <v>16174.4</v>
      </c>
      <c r="AP47" s="232"/>
      <c r="AQ47" s="229"/>
      <c r="AR47" s="212">
        <v>202.18</v>
      </c>
      <c r="AS47" s="212">
        <f t="shared" si="3"/>
        <v>0</v>
      </c>
      <c r="AT47" s="261">
        <f>AN47+AP47-AQ47</f>
        <v>80</v>
      </c>
      <c r="AU47" s="262">
        <f t="shared" si="5"/>
        <v>16174.400000000001</v>
      </c>
      <c r="AV47" s="267">
        <v>80</v>
      </c>
    </row>
    <row r="48" spans="1:48" s="62" customFormat="1" ht="26.25" customHeight="1">
      <c r="A48" s="59"/>
      <c r="B48" s="60"/>
      <c r="C48" s="60"/>
      <c r="D48" s="22">
        <v>32</v>
      </c>
      <c r="E48" s="79" t="s">
        <v>24</v>
      </c>
      <c r="F48" s="149" t="s">
        <v>44</v>
      </c>
      <c r="G48" s="222" t="s">
        <v>116</v>
      </c>
      <c r="H48" s="193" t="s">
        <v>91</v>
      </c>
      <c r="I48" s="193" t="s">
        <v>91</v>
      </c>
      <c r="J48" s="193"/>
      <c r="K48" s="193"/>
      <c r="L48" s="243"/>
      <c r="M48" s="242">
        <f t="shared" si="0"/>
        <v>0</v>
      </c>
      <c r="N48" s="243">
        <f t="shared" si="1"/>
        <v>0</v>
      </c>
      <c r="O48" s="193"/>
      <c r="P48" s="243"/>
      <c r="Q48" s="193"/>
      <c r="R48" s="243"/>
      <c r="S48" s="193"/>
      <c r="T48" s="243"/>
      <c r="U48" s="203" t="s">
        <v>169</v>
      </c>
      <c r="V48" s="115">
        <v>834</v>
      </c>
      <c r="W48" s="114">
        <v>43222</v>
      </c>
      <c r="X48" s="193" t="s">
        <v>162</v>
      </c>
      <c r="Y48" s="200">
        <v>43242</v>
      </c>
      <c r="Z48" s="193"/>
      <c r="AA48" s="193"/>
      <c r="AB48" s="35">
        <v>0</v>
      </c>
      <c r="AC48" s="170">
        <v>0</v>
      </c>
      <c r="AD48" s="209">
        <v>95</v>
      </c>
      <c r="AE48" s="194">
        <v>19207.099999999999</v>
      </c>
      <c r="AF48" s="209"/>
      <c r="AG48" s="194"/>
      <c r="AH48" s="209"/>
      <c r="AI48" s="194"/>
      <c r="AJ48" s="233">
        <f t="shared" si="6"/>
        <v>95</v>
      </c>
      <c r="AK48" s="170">
        <f t="shared" si="7"/>
        <v>19207.099999999999</v>
      </c>
      <c r="AL48" s="272">
        <v>0</v>
      </c>
      <c r="AM48" s="212">
        <v>0</v>
      </c>
      <c r="AN48" s="269">
        <f t="shared" si="8"/>
        <v>95</v>
      </c>
      <c r="AO48" s="217">
        <f t="shared" si="2"/>
        <v>19207.099999999999</v>
      </c>
      <c r="AP48" s="232"/>
      <c r="AQ48" s="229"/>
      <c r="AR48" s="212">
        <v>202.18</v>
      </c>
      <c r="AS48" s="212">
        <f>AQ48*AR48</f>
        <v>0</v>
      </c>
      <c r="AT48" s="261">
        <f t="shared" si="4"/>
        <v>95</v>
      </c>
      <c r="AU48" s="262">
        <f t="shared" si="5"/>
        <v>19207.100000000002</v>
      </c>
      <c r="AV48" s="267">
        <v>95</v>
      </c>
    </row>
    <row r="49" spans="1:48" s="62" customFormat="1" ht="26.25" customHeight="1">
      <c r="A49" s="59"/>
      <c r="B49" s="60"/>
      <c r="C49" s="60"/>
      <c r="D49" s="22">
        <v>33</v>
      </c>
      <c r="E49" s="79" t="s">
        <v>24</v>
      </c>
      <c r="F49" s="149" t="s">
        <v>44</v>
      </c>
      <c r="G49" s="222" t="s">
        <v>116</v>
      </c>
      <c r="H49" s="193" t="s">
        <v>91</v>
      </c>
      <c r="I49" s="193" t="s">
        <v>91</v>
      </c>
      <c r="J49" s="193"/>
      <c r="K49" s="193"/>
      <c r="L49" s="243"/>
      <c r="M49" s="242">
        <f t="shared" si="0"/>
        <v>0</v>
      </c>
      <c r="N49" s="243">
        <f t="shared" si="1"/>
        <v>0</v>
      </c>
      <c r="O49" s="193"/>
      <c r="P49" s="243"/>
      <c r="Q49" s="193"/>
      <c r="R49" s="243"/>
      <c r="S49" s="193"/>
      <c r="T49" s="243"/>
      <c r="U49" s="203" t="s">
        <v>180</v>
      </c>
      <c r="V49" s="115">
        <v>1006</v>
      </c>
      <c r="W49" s="114">
        <v>43244</v>
      </c>
      <c r="X49" s="193" t="s">
        <v>179</v>
      </c>
      <c r="Y49" s="200">
        <v>43285</v>
      </c>
      <c r="Z49" s="193"/>
      <c r="AA49" s="193"/>
      <c r="AB49" s="35">
        <v>0</v>
      </c>
      <c r="AC49" s="170">
        <v>0</v>
      </c>
      <c r="AD49" s="209">
        <v>20</v>
      </c>
      <c r="AE49" s="194">
        <v>3920</v>
      </c>
      <c r="AF49" s="209"/>
      <c r="AG49" s="194"/>
      <c r="AH49" s="209"/>
      <c r="AI49" s="194"/>
      <c r="AJ49" s="233">
        <f t="shared" si="6"/>
        <v>20</v>
      </c>
      <c r="AK49" s="170">
        <f t="shared" si="7"/>
        <v>3920</v>
      </c>
      <c r="AL49" s="272">
        <v>0</v>
      </c>
      <c r="AM49" s="212">
        <v>0</v>
      </c>
      <c r="AN49" s="269">
        <f t="shared" ref="AN49:AN82" si="10">AB49+AJ49-AL49</f>
        <v>20</v>
      </c>
      <c r="AO49" s="217">
        <f t="shared" ref="AO49:AO82" si="11">AC49+AK49-AM49</f>
        <v>3920</v>
      </c>
      <c r="AP49" s="232"/>
      <c r="AQ49" s="229"/>
      <c r="AR49" s="212">
        <v>196</v>
      </c>
      <c r="AS49" s="212">
        <f t="shared" si="3"/>
        <v>0</v>
      </c>
      <c r="AT49" s="261">
        <f t="shared" si="4"/>
        <v>20</v>
      </c>
      <c r="AU49" s="262">
        <f t="shared" si="5"/>
        <v>3920</v>
      </c>
      <c r="AV49" s="267">
        <v>20</v>
      </c>
    </row>
    <row r="50" spans="1:48" s="62" customFormat="1" ht="26.25" customHeight="1">
      <c r="A50" s="59"/>
      <c r="B50" s="60"/>
      <c r="C50" s="60"/>
      <c r="D50" s="22">
        <v>34</v>
      </c>
      <c r="E50" s="79" t="s">
        <v>24</v>
      </c>
      <c r="F50" s="149" t="s">
        <v>44</v>
      </c>
      <c r="G50" s="222" t="s">
        <v>116</v>
      </c>
      <c r="H50" s="193" t="s">
        <v>91</v>
      </c>
      <c r="I50" s="193" t="s">
        <v>91</v>
      </c>
      <c r="J50" s="193"/>
      <c r="K50" s="193"/>
      <c r="L50" s="243"/>
      <c r="M50" s="242">
        <f t="shared" si="0"/>
        <v>0</v>
      </c>
      <c r="N50" s="243">
        <f t="shared" si="1"/>
        <v>0</v>
      </c>
      <c r="O50" s="193"/>
      <c r="P50" s="243"/>
      <c r="Q50" s="193"/>
      <c r="R50" s="243"/>
      <c r="S50" s="193"/>
      <c r="T50" s="243"/>
      <c r="U50" s="203" t="s">
        <v>176</v>
      </c>
      <c r="V50" s="115">
        <v>877</v>
      </c>
      <c r="W50" s="114">
        <v>43230</v>
      </c>
      <c r="X50" s="193" t="s">
        <v>174</v>
      </c>
      <c r="Y50" s="200">
        <v>43285</v>
      </c>
      <c r="Z50" s="193"/>
      <c r="AA50" s="193"/>
      <c r="AB50" s="35">
        <v>0</v>
      </c>
      <c r="AC50" s="170">
        <v>0</v>
      </c>
      <c r="AD50" s="209">
        <v>225</v>
      </c>
      <c r="AE50" s="194">
        <v>45490.5</v>
      </c>
      <c r="AF50" s="209"/>
      <c r="AG50" s="194"/>
      <c r="AH50" s="209"/>
      <c r="AI50" s="194"/>
      <c r="AJ50" s="233">
        <f t="shared" si="6"/>
        <v>225</v>
      </c>
      <c r="AK50" s="170">
        <f t="shared" si="7"/>
        <v>45490.5</v>
      </c>
      <c r="AL50" s="272">
        <v>0</v>
      </c>
      <c r="AM50" s="212">
        <v>0</v>
      </c>
      <c r="AN50" s="269">
        <f t="shared" si="10"/>
        <v>225</v>
      </c>
      <c r="AO50" s="217">
        <f t="shared" si="11"/>
        <v>45490.5</v>
      </c>
      <c r="AP50" s="232"/>
      <c r="AQ50" s="229"/>
      <c r="AR50" s="212">
        <v>202.18</v>
      </c>
      <c r="AS50" s="212">
        <f t="shared" si="3"/>
        <v>0</v>
      </c>
      <c r="AT50" s="261">
        <f t="shared" si="4"/>
        <v>225</v>
      </c>
      <c r="AU50" s="262">
        <f t="shared" si="5"/>
        <v>45490.5</v>
      </c>
      <c r="AV50" s="267">
        <v>225</v>
      </c>
    </row>
    <row r="51" spans="1:48" s="62" customFormat="1" ht="26.25" customHeight="1">
      <c r="A51" s="59"/>
      <c r="B51" s="60"/>
      <c r="C51" s="60"/>
      <c r="D51" s="22">
        <v>35</v>
      </c>
      <c r="E51" s="79" t="s">
        <v>24</v>
      </c>
      <c r="F51" s="149" t="s">
        <v>44</v>
      </c>
      <c r="G51" s="222" t="s">
        <v>116</v>
      </c>
      <c r="H51" s="193" t="s">
        <v>91</v>
      </c>
      <c r="I51" s="193" t="s">
        <v>91</v>
      </c>
      <c r="J51" s="193"/>
      <c r="K51" s="193"/>
      <c r="L51" s="243"/>
      <c r="M51" s="242">
        <f t="shared" si="0"/>
        <v>0</v>
      </c>
      <c r="N51" s="243">
        <f t="shared" si="1"/>
        <v>0</v>
      </c>
      <c r="O51" s="193"/>
      <c r="P51" s="243"/>
      <c r="Q51" s="193"/>
      <c r="R51" s="243"/>
      <c r="S51" s="193"/>
      <c r="T51" s="243"/>
      <c r="U51" s="203" t="s">
        <v>186</v>
      </c>
      <c r="V51" s="115">
        <v>1418</v>
      </c>
      <c r="W51" s="114">
        <v>43312</v>
      </c>
      <c r="X51" s="193" t="s">
        <v>184</v>
      </c>
      <c r="Y51" s="200">
        <v>43332</v>
      </c>
      <c r="Z51" s="193" t="s">
        <v>185</v>
      </c>
      <c r="AA51" s="200">
        <v>43320</v>
      </c>
      <c r="AB51" s="22">
        <v>0</v>
      </c>
      <c r="AC51" s="170">
        <v>0</v>
      </c>
      <c r="AD51" s="209">
        <v>55</v>
      </c>
      <c r="AE51" s="194">
        <v>10780</v>
      </c>
      <c r="AF51" s="209"/>
      <c r="AG51" s="194"/>
      <c r="AH51" s="209"/>
      <c r="AI51" s="194"/>
      <c r="AJ51" s="233">
        <f t="shared" si="6"/>
        <v>55</v>
      </c>
      <c r="AK51" s="170">
        <f t="shared" si="7"/>
        <v>10780</v>
      </c>
      <c r="AL51" s="272">
        <v>0</v>
      </c>
      <c r="AM51" s="212">
        <v>0</v>
      </c>
      <c r="AN51" s="269">
        <v>0</v>
      </c>
      <c r="AO51" s="217">
        <v>0</v>
      </c>
      <c r="AP51" s="232">
        <v>55</v>
      </c>
      <c r="AQ51" s="229"/>
      <c r="AR51" s="212">
        <v>196</v>
      </c>
      <c r="AS51" s="212">
        <f t="shared" si="3"/>
        <v>0</v>
      </c>
      <c r="AT51" s="261">
        <f t="shared" si="4"/>
        <v>55</v>
      </c>
      <c r="AU51" s="262">
        <f t="shared" si="5"/>
        <v>10780</v>
      </c>
      <c r="AV51" s="267">
        <v>55</v>
      </c>
    </row>
    <row r="52" spans="1:48" s="62" customFormat="1" ht="27" customHeight="1">
      <c r="A52" s="59"/>
      <c r="B52" s="60"/>
      <c r="C52" s="60"/>
      <c r="D52" s="22">
        <v>36</v>
      </c>
      <c r="E52" s="79" t="s">
        <v>24</v>
      </c>
      <c r="F52" s="51" t="s">
        <v>52</v>
      </c>
      <c r="G52" s="275" t="s">
        <v>111</v>
      </c>
      <c r="H52" s="115" t="s">
        <v>91</v>
      </c>
      <c r="I52" s="115" t="s">
        <v>91</v>
      </c>
      <c r="J52" s="115"/>
      <c r="K52" s="115"/>
      <c r="L52" s="276"/>
      <c r="M52" s="277">
        <f t="shared" si="0"/>
        <v>0</v>
      </c>
      <c r="N52" s="276">
        <f t="shared" si="1"/>
        <v>0</v>
      </c>
      <c r="O52" s="115"/>
      <c r="P52" s="276"/>
      <c r="Q52" s="115"/>
      <c r="R52" s="276"/>
      <c r="S52" s="115"/>
      <c r="T52" s="276"/>
      <c r="U52" s="278" t="s">
        <v>112</v>
      </c>
      <c r="V52" s="115">
        <v>1625</v>
      </c>
      <c r="W52" s="114">
        <v>43087</v>
      </c>
      <c r="X52" s="115" t="s">
        <v>109</v>
      </c>
      <c r="Y52" s="221">
        <v>43109</v>
      </c>
      <c r="Z52" s="115" t="s">
        <v>110</v>
      </c>
      <c r="AA52" s="221">
        <v>43111</v>
      </c>
      <c r="AB52" s="22">
        <v>0</v>
      </c>
      <c r="AC52" s="170">
        <v>0</v>
      </c>
      <c r="AD52" s="208">
        <v>5</v>
      </c>
      <c r="AE52" s="170">
        <v>1010.9</v>
      </c>
      <c r="AF52" s="208"/>
      <c r="AG52" s="170"/>
      <c r="AH52" s="208"/>
      <c r="AI52" s="170"/>
      <c r="AJ52" s="233">
        <f t="shared" si="6"/>
        <v>5</v>
      </c>
      <c r="AK52" s="170">
        <f t="shared" si="7"/>
        <v>1010.9</v>
      </c>
      <c r="AL52" s="270">
        <v>5</v>
      </c>
      <c r="AM52" s="170">
        <v>1010.9</v>
      </c>
      <c r="AN52" s="270">
        <f t="shared" si="10"/>
        <v>0</v>
      </c>
      <c r="AO52" s="170">
        <f t="shared" si="11"/>
        <v>0</v>
      </c>
      <c r="AP52" s="233"/>
      <c r="AQ52" s="233"/>
      <c r="AR52" s="170"/>
      <c r="AS52" s="170">
        <f t="shared" si="3"/>
        <v>0</v>
      </c>
      <c r="AT52" s="208">
        <f t="shared" si="4"/>
        <v>0</v>
      </c>
      <c r="AU52" s="170">
        <f t="shared" si="5"/>
        <v>0</v>
      </c>
      <c r="AV52" s="22">
        <v>0</v>
      </c>
    </row>
    <row r="53" spans="1:48" s="134" customFormat="1" ht="27" customHeight="1">
      <c r="A53" s="131"/>
      <c r="B53" s="132"/>
      <c r="C53" s="60"/>
      <c r="D53" s="22">
        <v>37</v>
      </c>
      <c r="E53" s="79" t="s">
        <v>24</v>
      </c>
      <c r="F53" s="53" t="s">
        <v>52</v>
      </c>
      <c r="G53" s="222" t="s">
        <v>111</v>
      </c>
      <c r="H53" s="193" t="s">
        <v>91</v>
      </c>
      <c r="I53" s="193" t="s">
        <v>91</v>
      </c>
      <c r="J53" s="193">
        <v>2016</v>
      </c>
      <c r="K53" s="193">
        <v>2</v>
      </c>
      <c r="L53" s="243">
        <v>199.06</v>
      </c>
      <c r="M53" s="242">
        <f t="shared" si="0"/>
        <v>4032</v>
      </c>
      <c r="N53" s="243">
        <f t="shared" si="1"/>
        <v>802609.92</v>
      </c>
      <c r="O53" s="193">
        <v>4130</v>
      </c>
      <c r="P53" s="243">
        <v>1054554.2</v>
      </c>
      <c r="Q53" s="193"/>
      <c r="R53" s="243"/>
      <c r="S53" s="193"/>
      <c r="T53" s="243"/>
      <c r="U53" s="203" t="s">
        <v>112</v>
      </c>
      <c r="V53" s="115">
        <v>1583</v>
      </c>
      <c r="W53" s="114">
        <v>43082</v>
      </c>
      <c r="X53" s="193" t="s">
        <v>113</v>
      </c>
      <c r="Y53" s="200">
        <v>43109</v>
      </c>
      <c r="Z53" s="193" t="s">
        <v>110</v>
      </c>
      <c r="AA53" s="200">
        <v>43111</v>
      </c>
      <c r="AB53" s="22">
        <v>0</v>
      </c>
      <c r="AC53" s="170">
        <v>0</v>
      </c>
      <c r="AD53" s="209">
        <v>490</v>
      </c>
      <c r="AE53" s="194">
        <v>99068.2</v>
      </c>
      <c r="AF53" s="209"/>
      <c r="AG53" s="194"/>
      <c r="AH53" s="209"/>
      <c r="AI53" s="194"/>
      <c r="AJ53" s="233">
        <f t="shared" si="6"/>
        <v>490</v>
      </c>
      <c r="AK53" s="170">
        <f t="shared" si="7"/>
        <v>99068.2</v>
      </c>
      <c r="AL53" s="272">
        <f>135+130+130</f>
        <v>395</v>
      </c>
      <c r="AM53" s="212">
        <f>AL53*AR53</f>
        <v>79861.100000000006</v>
      </c>
      <c r="AN53" s="269">
        <v>225</v>
      </c>
      <c r="AO53" s="217">
        <f t="shared" si="11"/>
        <v>19207.099999999991</v>
      </c>
      <c r="AP53" s="232"/>
      <c r="AQ53" s="229">
        <v>130</v>
      </c>
      <c r="AR53" s="212">
        <v>202.18</v>
      </c>
      <c r="AS53" s="212">
        <f t="shared" si="3"/>
        <v>26283.4</v>
      </c>
      <c r="AT53" s="261">
        <f t="shared" si="4"/>
        <v>95</v>
      </c>
      <c r="AU53" s="262">
        <f t="shared" si="5"/>
        <v>19207.100000000002</v>
      </c>
      <c r="AV53" s="267">
        <v>95</v>
      </c>
    </row>
    <row r="54" spans="1:48" s="139" customFormat="1" ht="27" customHeight="1">
      <c r="A54" s="136"/>
      <c r="B54" s="137"/>
      <c r="C54" s="60"/>
      <c r="D54" s="22">
        <v>38</v>
      </c>
      <c r="E54" s="79" t="s">
        <v>24</v>
      </c>
      <c r="F54" s="53" t="s">
        <v>52</v>
      </c>
      <c r="G54" s="222" t="s">
        <v>111</v>
      </c>
      <c r="H54" s="193" t="s">
        <v>91</v>
      </c>
      <c r="I54" s="193" t="s">
        <v>91</v>
      </c>
      <c r="J54" s="193"/>
      <c r="K54" s="193"/>
      <c r="L54" s="243"/>
      <c r="M54" s="242">
        <f t="shared" si="0"/>
        <v>0</v>
      </c>
      <c r="N54" s="243">
        <f t="shared" si="1"/>
        <v>0</v>
      </c>
      <c r="O54" s="193"/>
      <c r="P54" s="243"/>
      <c r="Q54" s="193"/>
      <c r="R54" s="243"/>
      <c r="S54" s="193"/>
      <c r="T54" s="243"/>
      <c r="U54" s="203" t="s">
        <v>112</v>
      </c>
      <c r="V54" s="115">
        <v>1745</v>
      </c>
      <c r="W54" s="114">
        <v>43096</v>
      </c>
      <c r="X54" s="193" t="s">
        <v>117</v>
      </c>
      <c r="Y54" s="200">
        <v>43109</v>
      </c>
      <c r="Z54" s="193" t="s">
        <v>118</v>
      </c>
      <c r="AA54" s="200">
        <v>43133</v>
      </c>
      <c r="AB54" s="22">
        <v>0</v>
      </c>
      <c r="AC54" s="170">
        <v>0</v>
      </c>
      <c r="AD54" s="209">
        <v>195</v>
      </c>
      <c r="AE54" s="194">
        <v>39425.1</v>
      </c>
      <c r="AF54" s="209"/>
      <c r="AG54" s="194"/>
      <c r="AH54" s="209"/>
      <c r="AI54" s="194"/>
      <c r="AJ54" s="233">
        <f t="shared" si="6"/>
        <v>195</v>
      </c>
      <c r="AK54" s="170">
        <f t="shared" si="7"/>
        <v>39425.1</v>
      </c>
      <c r="AL54" s="272">
        <v>0</v>
      </c>
      <c r="AM54" s="212">
        <v>0</v>
      </c>
      <c r="AN54" s="269">
        <f t="shared" si="10"/>
        <v>195</v>
      </c>
      <c r="AO54" s="217">
        <f t="shared" si="11"/>
        <v>39425.1</v>
      </c>
      <c r="AP54" s="232"/>
      <c r="AQ54" s="229"/>
      <c r="AR54" s="212">
        <v>202.18</v>
      </c>
      <c r="AS54" s="212">
        <f t="shared" si="3"/>
        <v>0</v>
      </c>
      <c r="AT54" s="261">
        <f t="shared" si="4"/>
        <v>195</v>
      </c>
      <c r="AU54" s="262">
        <f t="shared" si="5"/>
        <v>39425.1</v>
      </c>
      <c r="AV54" s="267">
        <v>195</v>
      </c>
    </row>
    <row r="55" spans="1:48" s="62" customFormat="1" ht="26.25" customHeight="1">
      <c r="A55" s="59"/>
      <c r="B55" s="60"/>
      <c r="C55" s="60"/>
      <c r="D55" s="22">
        <v>39</v>
      </c>
      <c r="E55" s="79" t="s">
        <v>24</v>
      </c>
      <c r="F55" s="53" t="s">
        <v>65</v>
      </c>
      <c r="G55" s="222" t="s">
        <v>111</v>
      </c>
      <c r="H55" s="193" t="s">
        <v>91</v>
      </c>
      <c r="I55" s="193" t="s">
        <v>91</v>
      </c>
      <c r="J55" s="193"/>
      <c r="K55" s="193"/>
      <c r="L55" s="243"/>
      <c r="M55" s="242">
        <f t="shared" si="0"/>
        <v>0</v>
      </c>
      <c r="N55" s="243">
        <f t="shared" si="1"/>
        <v>0</v>
      </c>
      <c r="O55" s="193"/>
      <c r="P55" s="243"/>
      <c r="Q55" s="193"/>
      <c r="R55" s="243"/>
      <c r="S55" s="193"/>
      <c r="T55" s="243"/>
      <c r="U55" s="203" t="s">
        <v>133</v>
      </c>
      <c r="V55" s="115">
        <v>426</v>
      </c>
      <c r="W55" s="114">
        <v>43164</v>
      </c>
      <c r="X55" s="193" t="s">
        <v>141</v>
      </c>
      <c r="Y55" s="200">
        <v>43164</v>
      </c>
      <c r="Z55" s="193" t="s">
        <v>142</v>
      </c>
      <c r="AA55" s="200">
        <v>43230</v>
      </c>
      <c r="AB55" s="22">
        <v>0</v>
      </c>
      <c r="AC55" s="170">
        <v>0</v>
      </c>
      <c r="AD55" s="209">
        <v>170</v>
      </c>
      <c r="AE55" s="194">
        <v>34370.6</v>
      </c>
      <c r="AF55" s="209"/>
      <c r="AG55" s="194"/>
      <c r="AH55" s="209"/>
      <c r="AI55" s="194"/>
      <c r="AJ55" s="233">
        <f t="shared" si="6"/>
        <v>170</v>
      </c>
      <c r="AK55" s="170">
        <f t="shared" si="7"/>
        <v>34370.6</v>
      </c>
      <c r="AL55" s="272">
        <v>0</v>
      </c>
      <c r="AM55" s="212">
        <v>0</v>
      </c>
      <c r="AN55" s="269">
        <f t="shared" si="10"/>
        <v>170</v>
      </c>
      <c r="AO55" s="217">
        <f t="shared" si="11"/>
        <v>34370.6</v>
      </c>
      <c r="AP55" s="232"/>
      <c r="AQ55" s="229"/>
      <c r="AR55" s="212">
        <v>202.18</v>
      </c>
      <c r="AS55" s="212">
        <f t="shared" si="3"/>
        <v>0</v>
      </c>
      <c r="AT55" s="261">
        <f t="shared" si="4"/>
        <v>170</v>
      </c>
      <c r="AU55" s="262">
        <f t="shared" si="5"/>
        <v>34370.6</v>
      </c>
      <c r="AV55" s="267">
        <v>170</v>
      </c>
    </row>
    <row r="56" spans="1:48" s="62" customFormat="1" ht="26.25" customHeight="1">
      <c r="A56" s="59"/>
      <c r="B56" s="60"/>
      <c r="C56" s="60"/>
      <c r="D56" s="22">
        <v>40</v>
      </c>
      <c r="E56" s="79" t="s">
        <v>24</v>
      </c>
      <c r="F56" s="53" t="s">
        <v>65</v>
      </c>
      <c r="G56" s="222" t="s">
        <v>111</v>
      </c>
      <c r="H56" s="193" t="s">
        <v>91</v>
      </c>
      <c r="I56" s="193" t="s">
        <v>91</v>
      </c>
      <c r="J56" s="193"/>
      <c r="K56" s="193"/>
      <c r="L56" s="243"/>
      <c r="M56" s="242">
        <f t="shared" si="0"/>
        <v>0</v>
      </c>
      <c r="N56" s="243">
        <f t="shared" si="1"/>
        <v>0</v>
      </c>
      <c r="O56" s="193"/>
      <c r="P56" s="243"/>
      <c r="Q56" s="193"/>
      <c r="R56" s="243"/>
      <c r="S56" s="193"/>
      <c r="T56" s="243"/>
      <c r="U56" s="203" t="s">
        <v>133</v>
      </c>
      <c r="V56" s="115">
        <v>234</v>
      </c>
      <c r="W56" s="114">
        <v>43143</v>
      </c>
      <c r="X56" s="193" t="s">
        <v>143</v>
      </c>
      <c r="Y56" s="200">
        <v>43164</v>
      </c>
      <c r="Z56" s="193"/>
      <c r="AA56" s="193"/>
      <c r="AB56" s="22">
        <v>0</v>
      </c>
      <c r="AC56" s="170">
        <v>0</v>
      </c>
      <c r="AD56" s="209">
        <v>320</v>
      </c>
      <c r="AE56" s="194">
        <v>64697.599999999999</v>
      </c>
      <c r="AF56" s="209"/>
      <c r="AG56" s="194"/>
      <c r="AH56" s="209"/>
      <c r="AI56" s="194"/>
      <c r="AJ56" s="233">
        <f t="shared" si="6"/>
        <v>320</v>
      </c>
      <c r="AK56" s="170">
        <f t="shared" si="7"/>
        <v>64697.599999999999</v>
      </c>
      <c r="AL56" s="272">
        <v>0</v>
      </c>
      <c r="AM56" s="212">
        <v>0</v>
      </c>
      <c r="AN56" s="269">
        <f t="shared" si="10"/>
        <v>320</v>
      </c>
      <c r="AO56" s="217">
        <f t="shared" si="11"/>
        <v>64697.599999999999</v>
      </c>
      <c r="AP56" s="232"/>
      <c r="AQ56" s="229"/>
      <c r="AR56" s="212">
        <v>202.18</v>
      </c>
      <c r="AS56" s="212">
        <f t="shared" si="3"/>
        <v>0</v>
      </c>
      <c r="AT56" s="261">
        <f t="shared" si="4"/>
        <v>320</v>
      </c>
      <c r="AU56" s="262">
        <f t="shared" si="5"/>
        <v>64697.600000000006</v>
      </c>
      <c r="AV56" s="267">
        <v>320</v>
      </c>
    </row>
    <row r="57" spans="1:48" s="62" customFormat="1" ht="26.25" customHeight="1">
      <c r="A57" s="59"/>
      <c r="B57" s="60"/>
      <c r="C57" s="60"/>
      <c r="D57" s="22">
        <v>41</v>
      </c>
      <c r="E57" s="79" t="s">
        <v>24</v>
      </c>
      <c r="F57" s="53" t="s">
        <v>65</v>
      </c>
      <c r="G57" s="222" t="s">
        <v>111</v>
      </c>
      <c r="H57" s="193" t="s">
        <v>91</v>
      </c>
      <c r="I57" s="193" t="s">
        <v>91</v>
      </c>
      <c r="J57" s="193"/>
      <c r="K57" s="193"/>
      <c r="L57" s="243"/>
      <c r="M57" s="242">
        <f t="shared" si="0"/>
        <v>0</v>
      </c>
      <c r="N57" s="243">
        <f t="shared" si="1"/>
        <v>0</v>
      </c>
      <c r="O57" s="193"/>
      <c r="P57" s="243"/>
      <c r="Q57" s="193"/>
      <c r="R57" s="243"/>
      <c r="S57" s="193"/>
      <c r="T57" s="243"/>
      <c r="U57" s="203" t="s">
        <v>132</v>
      </c>
      <c r="V57" s="115">
        <v>234</v>
      </c>
      <c r="W57" s="114">
        <v>43143</v>
      </c>
      <c r="X57" s="193" t="s">
        <v>143</v>
      </c>
      <c r="Y57" s="200">
        <v>43164</v>
      </c>
      <c r="Z57" s="193"/>
      <c r="AA57" s="193"/>
      <c r="AB57" s="22">
        <v>0</v>
      </c>
      <c r="AC57" s="170">
        <v>0</v>
      </c>
      <c r="AD57" s="209">
        <v>15</v>
      </c>
      <c r="AE57" s="194">
        <v>3032.7</v>
      </c>
      <c r="AF57" s="209"/>
      <c r="AG57" s="194"/>
      <c r="AH57" s="209"/>
      <c r="AI57" s="194"/>
      <c r="AJ57" s="233">
        <f t="shared" si="6"/>
        <v>15</v>
      </c>
      <c r="AK57" s="170">
        <f t="shared" si="7"/>
        <v>3032.7</v>
      </c>
      <c r="AL57" s="272">
        <v>0</v>
      </c>
      <c r="AM57" s="212">
        <v>0</v>
      </c>
      <c r="AN57" s="269">
        <f t="shared" si="10"/>
        <v>15</v>
      </c>
      <c r="AO57" s="217">
        <f t="shared" si="11"/>
        <v>3032.7</v>
      </c>
      <c r="AP57" s="232"/>
      <c r="AQ57" s="229"/>
      <c r="AR57" s="212">
        <v>202.18</v>
      </c>
      <c r="AS57" s="212">
        <f t="shared" si="3"/>
        <v>0</v>
      </c>
      <c r="AT57" s="261">
        <f t="shared" si="4"/>
        <v>15</v>
      </c>
      <c r="AU57" s="262">
        <f t="shared" si="5"/>
        <v>3032.7000000000003</v>
      </c>
      <c r="AV57" s="267">
        <v>15</v>
      </c>
    </row>
    <row r="58" spans="1:48" s="62" customFormat="1" ht="27" customHeight="1">
      <c r="A58" s="59"/>
      <c r="B58" s="60"/>
      <c r="C58" s="60"/>
      <c r="D58" s="22">
        <v>42</v>
      </c>
      <c r="E58" s="79" t="s">
        <v>24</v>
      </c>
      <c r="F58" s="53" t="s">
        <v>65</v>
      </c>
      <c r="G58" s="222" t="s">
        <v>111</v>
      </c>
      <c r="H58" s="193" t="s">
        <v>91</v>
      </c>
      <c r="I58" s="193" t="s">
        <v>91</v>
      </c>
      <c r="J58" s="193"/>
      <c r="K58" s="193"/>
      <c r="L58" s="243"/>
      <c r="M58" s="242">
        <f t="shared" si="0"/>
        <v>0</v>
      </c>
      <c r="N58" s="243">
        <f t="shared" si="1"/>
        <v>0</v>
      </c>
      <c r="O58" s="193"/>
      <c r="P58" s="243"/>
      <c r="Q58" s="193"/>
      <c r="R58" s="243"/>
      <c r="S58" s="193"/>
      <c r="T58" s="243"/>
      <c r="U58" s="203" t="s">
        <v>133</v>
      </c>
      <c r="V58" s="115">
        <v>356</v>
      </c>
      <c r="W58" s="114">
        <v>43159</v>
      </c>
      <c r="X58" s="193" t="s">
        <v>136</v>
      </c>
      <c r="Y58" s="200">
        <v>43164</v>
      </c>
      <c r="Z58" s="193"/>
      <c r="AA58" s="193"/>
      <c r="AB58" s="22">
        <v>0</v>
      </c>
      <c r="AC58" s="170">
        <v>0</v>
      </c>
      <c r="AD58" s="209">
        <v>170</v>
      </c>
      <c r="AE58" s="194">
        <v>34370.6</v>
      </c>
      <c r="AF58" s="209"/>
      <c r="AG58" s="194"/>
      <c r="AH58" s="209"/>
      <c r="AI58" s="194"/>
      <c r="AJ58" s="233">
        <f t="shared" si="6"/>
        <v>170</v>
      </c>
      <c r="AK58" s="170">
        <f t="shared" si="7"/>
        <v>34370.6</v>
      </c>
      <c r="AL58" s="272">
        <v>0</v>
      </c>
      <c r="AM58" s="212">
        <v>0</v>
      </c>
      <c r="AN58" s="269">
        <f t="shared" si="10"/>
        <v>170</v>
      </c>
      <c r="AO58" s="217">
        <f t="shared" si="11"/>
        <v>34370.6</v>
      </c>
      <c r="AP58" s="232"/>
      <c r="AQ58" s="229"/>
      <c r="AR58" s="212">
        <v>202.18</v>
      </c>
      <c r="AS58" s="212">
        <f t="shared" si="3"/>
        <v>0</v>
      </c>
      <c r="AT58" s="261">
        <f t="shared" si="4"/>
        <v>170</v>
      </c>
      <c r="AU58" s="262">
        <f t="shared" si="5"/>
        <v>34370.6</v>
      </c>
      <c r="AV58" s="267">
        <v>170</v>
      </c>
    </row>
    <row r="59" spans="1:48" s="62" customFormat="1" ht="27" customHeight="1">
      <c r="A59" s="59"/>
      <c r="B59" s="60"/>
      <c r="C59" s="60"/>
      <c r="D59" s="22">
        <v>43</v>
      </c>
      <c r="E59" s="79" t="s">
        <v>24</v>
      </c>
      <c r="F59" s="53" t="s">
        <v>65</v>
      </c>
      <c r="G59" s="222" t="s">
        <v>111</v>
      </c>
      <c r="H59" s="193" t="s">
        <v>91</v>
      </c>
      <c r="I59" s="193" t="s">
        <v>91</v>
      </c>
      <c r="J59" s="193"/>
      <c r="K59" s="193"/>
      <c r="L59" s="243"/>
      <c r="M59" s="242">
        <f t="shared" si="0"/>
        <v>0</v>
      </c>
      <c r="N59" s="243">
        <f t="shared" si="1"/>
        <v>0</v>
      </c>
      <c r="O59" s="193"/>
      <c r="P59" s="243"/>
      <c r="Q59" s="193"/>
      <c r="R59" s="243"/>
      <c r="S59" s="193"/>
      <c r="T59" s="243"/>
      <c r="U59" s="203" t="s">
        <v>133</v>
      </c>
      <c r="V59" s="115">
        <v>260</v>
      </c>
      <c r="W59" s="114">
        <v>43145</v>
      </c>
      <c r="X59" s="193" t="s">
        <v>94</v>
      </c>
      <c r="Y59" s="200">
        <v>43164</v>
      </c>
      <c r="Z59" s="193"/>
      <c r="AA59" s="193"/>
      <c r="AB59" s="22">
        <v>0</v>
      </c>
      <c r="AC59" s="170">
        <v>0</v>
      </c>
      <c r="AD59" s="209">
        <v>665</v>
      </c>
      <c r="AE59" s="194">
        <v>134449.70000000001</v>
      </c>
      <c r="AF59" s="209"/>
      <c r="AG59" s="194"/>
      <c r="AH59" s="209"/>
      <c r="AI59" s="194"/>
      <c r="AJ59" s="233">
        <f t="shared" si="6"/>
        <v>665</v>
      </c>
      <c r="AK59" s="170">
        <f t="shared" si="7"/>
        <v>134449.70000000001</v>
      </c>
      <c r="AL59" s="272">
        <v>0</v>
      </c>
      <c r="AM59" s="212">
        <v>0</v>
      </c>
      <c r="AN59" s="269">
        <f t="shared" si="10"/>
        <v>665</v>
      </c>
      <c r="AO59" s="217">
        <f t="shared" si="11"/>
        <v>134449.70000000001</v>
      </c>
      <c r="AP59" s="232"/>
      <c r="AQ59" s="229"/>
      <c r="AR59" s="212">
        <v>202.18</v>
      </c>
      <c r="AS59" s="212">
        <f t="shared" si="3"/>
        <v>0</v>
      </c>
      <c r="AT59" s="261">
        <f t="shared" si="4"/>
        <v>665</v>
      </c>
      <c r="AU59" s="262">
        <f t="shared" si="5"/>
        <v>134449.70000000001</v>
      </c>
      <c r="AV59" s="267">
        <v>665</v>
      </c>
    </row>
    <row r="60" spans="1:48" s="62" customFormat="1" ht="26.25" customHeight="1">
      <c r="A60" s="59"/>
      <c r="B60" s="60"/>
      <c r="C60" s="60"/>
      <c r="D60" s="22">
        <v>44</v>
      </c>
      <c r="E60" s="79" t="s">
        <v>24</v>
      </c>
      <c r="F60" s="53" t="s">
        <v>65</v>
      </c>
      <c r="G60" s="222" t="s">
        <v>111</v>
      </c>
      <c r="H60" s="193" t="s">
        <v>91</v>
      </c>
      <c r="I60" s="193" t="s">
        <v>91</v>
      </c>
      <c r="J60" s="193"/>
      <c r="K60" s="193"/>
      <c r="L60" s="243"/>
      <c r="M60" s="242">
        <f t="shared" si="0"/>
        <v>0</v>
      </c>
      <c r="N60" s="243">
        <f t="shared" si="1"/>
        <v>0</v>
      </c>
      <c r="O60" s="193"/>
      <c r="P60" s="243"/>
      <c r="Q60" s="193"/>
      <c r="R60" s="243"/>
      <c r="S60" s="193"/>
      <c r="T60" s="243"/>
      <c r="U60" s="203" t="s">
        <v>124</v>
      </c>
      <c r="V60" s="115">
        <v>68</v>
      </c>
      <c r="W60" s="114">
        <v>43116</v>
      </c>
      <c r="X60" s="193" t="s">
        <v>125</v>
      </c>
      <c r="Y60" s="200">
        <v>43130</v>
      </c>
      <c r="Z60" s="193"/>
      <c r="AA60" s="193"/>
      <c r="AB60" s="22">
        <v>0</v>
      </c>
      <c r="AC60" s="170">
        <v>0</v>
      </c>
      <c r="AD60" s="209">
        <v>335</v>
      </c>
      <c r="AE60" s="194">
        <v>67730.3</v>
      </c>
      <c r="AF60" s="209"/>
      <c r="AG60" s="194"/>
      <c r="AH60" s="209"/>
      <c r="AI60" s="194"/>
      <c r="AJ60" s="233">
        <f t="shared" si="6"/>
        <v>335</v>
      </c>
      <c r="AK60" s="170">
        <f t="shared" si="7"/>
        <v>67730.3</v>
      </c>
      <c r="AL60" s="272">
        <v>0</v>
      </c>
      <c r="AM60" s="212">
        <v>0</v>
      </c>
      <c r="AN60" s="269">
        <f t="shared" si="10"/>
        <v>335</v>
      </c>
      <c r="AO60" s="217">
        <f t="shared" si="11"/>
        <v>67730.3</v>
      </c>
      <c r="AP60" s="232"/>
      <c r="AQ60" s="229"/>
      <c r="AR60" s="212">
        <v>202.18</v>
      </c>
      <c r="AS60" s="212">
        <f t="shared" si="3"/>
        <v>0</v>
      </c>
      <c r="AT60" s="261">
        <f t="shared" si="4"/>
        <v>335</v>
      </c>
      <c r="AU60" s="262">
        <f t="shared" si="5"/>
        <v>67730.3</v>
      </c>
      <c r="AV60" s="267">
        <v>335</v>
      </c>
    </row>
    <row r="61" spans="1:48" s="62" customFormat="1" ht="26.25" customHeight="1">
      <c r="A61" s="59"/>
      <c r="B61" s="60"/>
      <c r="C61" s="60"/>
      <c r="D61" s="22">
        <v>45</v>
      </c>
      <c r="E61" s="79" t="s">
        <v>24</v>
      </c>
      <c r="F61" s="53" t="s">
        <v>65</v>
      </c>
      <c r="G61" s="222" t="s">
        <v>111</v>
      </c>
      <c r="H61" s="193" t="s">
        <v>91</v>
      </c>
      <c r="I61" s="193" t="s">
        <v>91</v>
      </c>
      <c r="J61" s="193"/>
      <c r="K61" s="193"/>
      <c r="L61" s="243"/>
      <c r="M61" s="242">
        <f t="shared" si="0"/>
        <v>0</v>
      </c>
      <c r="N61" s="243">
        <f t="shared" si="1"/>
        <v>0</v>
      </c>
      <c r="O61" s="193"/>
      <c r="P61" s="243"/>
      <c r="Q61" s="193"/>
      <c r="R61" s="243"/>
      <c r="S61" s="193"/>
      <c r="T61" s="243"/>
      <c r="U61" s="203" t="s">
        <v>124</v>
      </c>
      <c r="V61" s="115">
        <v>135</v>
      </c>
      <c r="W61" s="114">
        <v>42761</v>
      </c>
      <c r="X61" s="193" t="s">
        <v>126</v>
      </c>
      <c r="Y61" s="200">
        <v>43130</v>
      </c>
      <c r="Z61" s="193"/>
      <c r="AA61" s="193"/>
      <c r="AB61" s="22">
        <v>0</v>
      </c>
      <c r="AC61" s="170">
        <v>0</v>
      </c>
      <c r="AD61" s="209">
        <v>155</v>
      </c>
      <c r="AE61" s="194">
        <v>31337.9</v>
      </c>
      <c r="AF61" s="209"/>
      <c r="AG61" s="194"/>
      <c r="AH61" s="209"/>
      <c r="AI61" s="194"/>
      <c r="AJ61" s="233">
        <f t="shared" si="6"/>
        <v>155</v>
      </c>
      <c r="AK61" s="170">
        <f t="shared" si="7"/>
        <v>31337.9</v>
      </c>
      <c r="AL61" s="272">
        <v>0</v>
      </c>
      <c r="AM61" s="212">
        <v>0</v>
      </c>
      <c r="AN61" s="269">
        <f t="shared" si="10"/>
        <v>155</v>
      </c>
      <c r="AO61" s="217">
        <f t="shared" si="11"/>
        <v>31337.9</v>
      </c>
      <c r="AP61" s="232"/>
      <c r="AQ61" s="229"/>
      <c r="AR61" s="212">
        <v>202.18</v>
      </c>
      <c r="AS61" s="212">
        <f t="shared" si="3"/>
        <v>0</v>
      </c>
      <c r="AT61" s="261">
        <f t="shared" si="4"/>
        <v>155</v>
      </c>
      <c r="AU61" s="262">
        <f t="shared" si="5"/>
        <v>31337.9</v>
      </c>
      <c r="AV61" s="267">
        <v>155</v>
      </c>
    </row>
    <row r="62" spans="1:48" s="62" customFormat="1" ht="26.25" customHeight="1">
      <c r="A62" s="59"/>
      <c r="B62" s="60"/>
      <c r="C62" s="60"/>
      <c r="D62" s="22">
        <v>46</v>
      </c>
      <c r="E62" s="79" t="s">
        <v>24</v>
      </c>
      <c r="F62" s="53" t="s">
        <v>65</v>
      </c>
      <c r="G62" s="222" t="s">
        <v>111</v>
      </c>
      <c r="H62" s="193" t="s">
        <v>91</v>
      </c>
      <c r="I62" s="193" t="s">
        <v>91</v>
      </c>
      <c r="J62" s="193"/>
      <c r="K62" s="193"/>
      <c r="L62" s="243"/>
      <c r="M62" s="242">
        <f t="shared" si="0"/>
        <v>0</v>
      </c>
      <c r="N62" s="243">
        <f t="shared" si="1"/>
        <v>0</v>
      </c>
      <c r="O62" s="193"/>
      <c r="P62" s="243"/>
      <c r="Q62" s="193"/>
      <c r="R62" s="243"/>
      <c r="S62" s="193"/>
      <c r="T62" s="243"/>
      <c r="U62" s="203" t="s">
        <v>132</v>
      </c>
      <c r="V62" s="115">
        <v>108</v>
      </c>
      <c r="W62" s="114">
        <v>43119</v>
      </c>
      <c r="X62" s="193" t="s">
        <v>131</v>
      </c>
      <c r="Y62" s="200">
        <v>43130</v>
      </c>
      <c r="Z62" s="193"/>
      <c r="AA62" s="193"/>
      <c r="AB62" s="22">
        <v>0</v>
      </c>
      <c r="AC62" s="170">
        <v>0</v>
      </c>
      <c r="AD62" s="209">
        <v>340</v>
      </c>
      <c r="AE62" s="194">
        <v>68741.2</v>
      </c>
      <c r="AF62" s="209"/>
      <c r="AG62" s="194"/>
      <c r="AH62" s="209"/>
      <c r="AI62" s="194"/>
      <c r="AJ62" s="233">
        <f t="shared" si="6"/>
        <v>340</v>
      </c>
      <c r="AK62" s="170">
        <f t="shared" si="7"/>
        <v>68741.2</v>
      </c>
      <c r="AL62" s="272">
        <v>0</v>
      </c>
      <c r="AM62" s="212">
        <v>0</v>
      </c>
      <c r="AN62" s="269">
        <f t="shared" si="10"/>
        <v>340</v>
      </c>
      <c r="AO62" s="217">
        <f t="shared" si="11"/>
        <v>68741.2</v>
      </c>
      <c r="AP62" s="232"/>
      <c r="AQ62" s="229"/>
      <c r="AR62" s="212">
        <v>202.18</v>
      </c>
      <c r="AS62" s="212">
        <f t="shared" si="3"/>
        <v>0</v>
      </c>
      <c r="AT62" s="261">
        <f t="shared" si="4"/>
        <v>340</v>
      </c>
      <c r="AU62" s="262">
        <f t="shared" si="5"/>
        <v>68741.2</v>
      </c>
      <c r="AV62" s="267">
        <v>340</v>
      </c>
    </row>
    <row r="63" spans="1:48" s="62" customFormat="1" ht="26.25" customHeight="1">
      <c r="A63" s="59"/>
      <c r="B63" s="60"/>
      <c r="C63" s="60"/>
      <c r="D63" s="22">
        <v>47</v>
      </c>
      <c r="E63" s="79" t="s">
        <v>24</v>
      </c>
      <c r="F63" s="53" t="s">
        <v>65</v>
      </c>
      <c r="G63" s="222" t="s">
        <v>111</v>
      </c>
      <c r="H63" s="193" t="s">
        <v>91</v>
      </c>
      <c r="I63" s="193" t="s">
        <v>91</v>
      </c>
      <c r="J63" s="193"/>
      <c r="K63" s="193"/>
      <c r="L63" s="243"/>
      <c r="M63" s="242">
        <f t="shared" si="0"/>
        <v>0</v>
      </c>
      <c r="N63" s="243">
        <f t="shared" si="1"/>
        <v>0</v>
      </c>
      <c r="O63" s="193"/>
      <c r="P63" s="243"/>
      <c r="Q63" s="193"/>
      <c r="R63" s="243"/>
      <c r="S63" s="193"/>
      <c r="T63" s="243"/>
      <c r="U63" s="203" t="s">
        <v>161</v>
      </c>
      <c r="V63" s="115">
        <v>659</v>
      </c>
      <c r="W63" s="114">
        <v>43201</v>
      </c>
      <c r="X63" s="193" t="s">
        <v>159</v>
      </c>
      <c r="Y63" s="200">
        <v>43213</v>
      </c>
      <c r="Z63" s="193" t="s">
        <v>160</v>
      </c>
      <c r="AA63" s="200">
        <v>43255</v>
      </c>
      <c r="AB63" s="22">
        <v>0</v>
      </c>
      <c r="AC63" s="170">
        <v>0</v>
      </c>
      <c r="AD63" s="209">
        <v>245</v>
      </c>
      <c r="AE63" s="194">
        <v>49534.1</v>
      </c>
      <c r="AF63" s="209"/>
      <c r="AG63" s="194"/>
      <c r="AH63" s="209"/>
      <c r="AI63" s="194"/>
      <c r="AJ63" s="233">
        <f t="shared" si="6"/>
        <v>245</v>
      </c>
      <c r="AK63" s="170">
        <f t="shared" si="7"/>
        <v>49534.1</v>
      </c>
      <c r="AL63" s="272">
        <v>0</v>
      </c>
      <c r="AM63" s="212">
        <v>0</v>
      </c>
      <c r="AN63" s="269">
        <f t="shared" si="10"/>
        <v>245</v>
      </c>
      <c r="AO63" s="217">
        <f t="shared" si="11"/>
        <v>49534.1</v>
      </c>
      <c r="AP63" s="232"/>
      <c r="AQ63" s="229"/>
      <c r="AR63" s="212">
        <v>202.18</v>
      </c>
      <c r="AS63" s="212">
        <f t="shared" si="3"/>
        <v>0</v>
      </c>
      <c r="AT63" s="261">
        <f t="shared" si="4"/>
        <v>245</v>
      </c>
      <c r="AU63" s="262">
        <f t="shared" si="5"/>
        <v>49534.1</v>
      </c>
      <c r="AV63" s="267">
        <v>245</v>
      </c>
    </row>
    <row r="64" spans="1:48" s="62" customFormat="1" ht="26.25" customHeight="1">
      <c r="A64" s="59"/>
      <c r="B64" s="60"/>
      <c r="C64" s="60"/>
      <c r="D64" s="22">
        <v>48</v>
      </c>
      <c r="E64" s="79" t="s">
        <v>24</v>
      </c>
      <c r="F64" s="53" t="s">
        <v>65</v>
      </c>
      <c r="G64" s="222" t="s">
        <v>111</v>
      </c>
      <c r="H64" s="193" t="s">
        <v>91</v>
      </c>
      <c r="I64" s="193" t="s">
        <v>91</v>
      </c>
      <c r="J64" s="193"/>
      <c r="K64" s="193"/>
      <c r="L64" s="243"/>
      <c r="M64" s="242">
        <f t="shared" si="0"/>
        <v>0</v>
      </c>
      <c r="N64" s="243">
        <f t="shared" si="1"/>
        <v>0</v>
      </c>
      <c r="O64" s="193"/>
      <c r="P64" s="243"/>
      <c r="Q64" s="193"/>
      <c r="R64" s="243"/>
      <c r="S64" s="193"/>
      <c r="T64" s="243"/>
      <c r="U64" s="203" t="s">
        <v>161</v>
      </c>
      <c r="V64" s="115">
        <v>834</v>
      </c>
      <c r="W64" s="114">
        <v>43222</v>
      </c>
      <c r="X64" s="193" t="s">
        <v>162</v>
      </c>
      <c r="Y64" s="200">
        <v>43242</v>
      </c>
      <c r="Z64" s="193"/>
      <c r="AA64" s="193"/>
      <c r="AB64" s="22">
        <v>0</v>
      </c>
      <c r="AC64" s="170">
        <v>0</v>
      </c>
      <c r="AD64" s="209">
        <v>555</v>
      </c>
      <c r="AE64" s="194">
        <v>112209.9</v>
      </c>
      <c r="AF64" s="209"/>
      <c r="AG64" s="194"/>
      <c r="AH64" s="209"/>
      <c r="AI64" s="194"/>
      <c r="AJ64" s="233">
        <f t="shared" si="6"/>
        <v>555</v>
      </c>
      <c r="AK64" s="170">
        <f t="shared" si="7"/>
        <v>112209.9</v>
      </c>
      <c r="AL64" s="272">
        <v>0</v>
      </c>
      <c r="AM64" s="212">
        <v>0</v>
      </c>
      <c r="AN64" s="269">
        <f t="shared" si="10"/>
        <v>555</v>
      </c>
      <c r="AO64" s="217">
        <f t="shared" si="11"/>
        <v>112209.9</v>
      </c>
      <c r="AP64" s="232"/>
      <c r="AQ64" s="229"/>
      <c r="AR64" s="212">
        <v>202.18</v>
      </c>
      <c r="AS64" s="212">
        <f t="shared" si="3"/>
        <v>0</v>
      </c>
      <c r="AT64" s="261">
        <f t="shared" si="4"/>
        <v>555</v>
      </c>
      <c r="AU64" s="262">
        <f t="shared" si="5"/>
        <v>112209.90000000001</v>
      </c>
      <c r="AV64" s="267">
        <v>555</v>
      </c>
    </row>
    <row r="65" spans="1:48" s="62" customFormat="1" ht="26.25" customHeight="1">
      <c r="A65" s="59"/>
      <c r="B65" s="60"/>
      <c r="C65" s="60"/>
      <c r="D65" s="22">
        <v>49</v>
      </c>
      <c r="E65" s="79" t="s">
        <v>24</v>
      </c>
      <c r="F65" s="53" t="s">
        <v>65</v>
      </c>
      <c r="G65" s="222" t="s">
        <v>111</v>
      </c>
      <c r="H65" s="193" t="s">
        <v>91</v>
      </c>
      <c r="I65" s="193" t="s">
        <v>91</v>
      </c>
      <c r="J65" s="193"/>
      <c r="K65" s="193"/>
      <c r="L65" s="243"/>
      <c r="M65" s="242">
        <f t="shared" si="0"/>
        <v>0</v>
      </c>
      <c r="N65" s="243">
        <f t="shared" si="1"/>
        <v>0</v>
      </c>
      <c r="O65" s="193"/>
      <c r="P65" s="243"/>
      <c r="Q65" s="193"/>
      <c r="R65" s="243"/>
      <c r="S65" s="193"/>
      <c r="T65" s="243"/>
      <c r="U65" s="203" t="s">
        <v>175</v>
      </c>
      <c r="V65" s="115">
        <v>1006</v>
      </c>
      <c r="W65" s="114">
        <v>43244</v>
      </c>
      <c r="X65" s="193" t="s">
        <v>179</v>
      </c>
      <c r="Y65" s="200">
        <v>43285</v>
      </c>
      <c r="Z65" s="193"/>
      <c r="AA65" s="193"/>
      <c r="AB65" s="22">
        <v>0</v>
      </c>
      <c r="AC65" s="170">
        <v>0</v>
      </c>
      <c r="AD65" s="209">
        <v>45</v>
      </c>
      <c r="AE65" s="194">
        <v>8820</v>
      </c>
      <c r="AF65" s="209"/>
      <c r="AG65" s="194"/>
      <c r="AH65" s="209"/>
      <c r="AI65" s="194"/>
      <c r="AJ65" s="233">
        <f t="shared" si="6"/>
        <v>45</v>
      </c>
      <c r="AK65" s="170">
        <f t="shared" si="7"/>
        <v>8820</v>
      </c>
      <c r="AL65" s="272">
        <v>0</v>
      </c>
      <c r="AM65" s="212">
        <v>0</v>
      </c>
      <c r="AN65" s="269">
        <f t="shared" si="10"/>
        <v>45</v>
      </c>
      <c r="AO65" s="217">
        <f t="shared" si="11"/>
        <v>8820</v>
      </c>
      <c r="AP65" s="232"/>
      <c r="AQ65" s="229"/>
      <c r="AR65" s="212">
        <v>196</v>
      </c>
      <c r="AS65" s="212">
        <f t="shared" si="3"/>
        <v>0</v>
      </c>
      <c r="AT65" s="261">
        <f t="shared" si="4"/>
        <v>45</v>
      </c>
      <c r="AU65" s="262">
        <f t="shared" si="5"/>
        <v>8820</v>
      </c>
      <c r="AV65" s="267">
        <v>45</v>
      </c>
    </row>
    <row r="66" spans="1:48" s="62" customFormat="1" ht="26.25" customHeight="1">
      <c r="A66" s="59"/>
      <c r="B66" s="60"/>
      <c r="C66" s="60"/>
      <c r="D66" s="22">
        <v>50</v>
      </c>
      <c r="E66" s="79" t="s">
        <v>24</v>
      </c>
      <c r="F66" s="53" t="s">
        <v>65</v>
      </c>
      <c r="G66" s="222" t="s">
        <v>111</v>
      </c>
      <c r="H66" s="193" t="s">
        <v>91</v>
      </c>
      <c r="I66" s="193" t="s">
        <v>91</v>
      </c>
      <c r="J66" s="193"/>
      <c r="K66" s="193"/>
      <c r="L66" s="243"/>
      <c r="M66" s="242">
        <f t="shared" si="0"/>
        <v>0</v>
      </c>
      <c r="N66" s="243">
        <f t="shared" si="1"/>
        <v>0</v>
      </c>
      <c r="O66" s="193"/>
      <c r="P66" s="243"/>
      <c r="Q66" s="193"/>
      <c r="R66" s="243"/>
      <c r="S66" s="193"/>
      <c r="T66" s="243"/>
      <c r="U66" s="203" t="s">
        <v>175</v>
      </c>
      <c r="V66" s="115">
        <v>1006</v>
      </c>
      <c r="W66" s="114">
        <v>43244</v>
      </c>
      <c r="X66" s="193" t="s">
        <v>179</v>
      </c>
      <c r="Y66" s="200">
        <v>43285</v>
      </c>
      <c r="Z66" s="193"/>
      <c r="AA66" s="193"/>
      <c r="AB66" s="22">
        <v>0</v>
      </c>
      <c r="AC66" s="170">
        <v>0</v>
      </c>
      <c r="AD66" s="209">
        <v>55</v>
      </c>
      <c r="AE66" s="194">
        <v>11119.9</v>
      </c>
      <c r="AF66" s="209"/>
      <c r="AG66" s="194"/>
      <c r="AH66" s="209"/>
      <c r="AI66" s="194"/>
      <c r="AJ66" s="233">
        <f t="shared" si="6"/>
        <v>55</v>
      </c>
      <c r="AK66" s="170">
        <f t="shared" si="7"/>
        <v>11119.9</v>
      </c>
      <c r="AL66" s="272">
        <v>0</v>
      </c>
      <c r="AM66" s="212">
        <v>0</v>
      </c>
      <c r="AN66" s="269">
        <f t="shared" si="10"/>
        <v>55</v>
      </c>
      <c r="AO66" s="217">
        <f t="shared" si="11"/>
        <v>11119.9</v>
      </c>
      <c r="AP66" s="232"/>
      <c r="AQ66" s="229"/>
      <c r="AR66" s="212">
        <v>202.18</v>
      </c>
      <c r="AS66" s="212">
        <f t="shared" si="3"/>
        <v>0</v>
      </c>
      <c r="AT66" s="261">
        <f t="shared" si="4"/>
        <v>55</v>
      </c>
      <c r="AU66" s="262">
        <f t="shared" si="5"/>
        <v>11119.9</v>
      </c>
      <c r="AV66" s="267">
        <v>55</v>
      </c>
    </row>
    <row r="67" spans="1:48" s="62" customFormat="1" ht="26.25" customHeight="1">
      <c r="A67" s="59"/>
      <c r="B67" s="60"/>
      <c r="C67" s="60"/>
      <c r="D67" s="22">
        <v>51</v>
      </c>
      <c r="E67" s="79" t="s">
        <v>24</v>
      </c>
      <c r="F67" s="53" t="s">
        <v>65</v>
      </c>
      <c r="G67" s="222" t="s">
        <v>111</v>
      </c>
      <c r="H67" s="193" t="s">
        <v>91</v>
      </c>
      <c r="I67" s="193" t="s">
        <v>91</v>
      </c>
      <c r="J67" s="193"/>
      <c r="K67" s="193"/>
      <c r="L67" s="243"/>
      <c r="M67" s="242">
        <f t="shared" si="0"/>
        <v>0</v>
      </c>
      <c r="N67" s="243">
        <f t="shared" si="1"/>
        <v>0</v>
      </c>
      <c r="O67" s="193"/>
      <c r="P67" s="243"/>
      <c r="Q67" s="193"/>
      <c r="R67" s="243"/>
      <c r="S67" s="193"/>
      <c r="T67" s="243"/>
      <c r="U67" s="203" t="s">
        <v>175</v>
      </c>
      <c r="V67" s="115">
        <v>877</v>
      </c>
      <c r="W67" s="114">
        <v>43230</v>
      </c>
      <c r="X67" s="193" t="s">
        <v>174</v>
      </c>
      <c r="Y67" s="200">
        <v>43285</v>
      </c>
      <c r="Z67" s="193"/>
      <c r="AA67" s="193"/>
      <c r="AB67" s="22">
        <v>0</v>
      </c>
      <c r="AC67" s="170">
        <v>0</v>
      </c>
      <c r="AD67" s="209">
        <v>210</v>
      </c>
      <c r="AE67" s="194">
        <v>42457.8</v>
      </c>
      <c r="AF67" s="209"/>
      <c r="AG67" s="194"/>
      <c r="AH67" s="209"/>
      <c r="AI67" s="194"/>
      <c r="AJ67" s="233">
        <f t="shared" si="6"/>
        <v>210</v>
      </c>
      <c r="AK67" s="170">
        <f t="shared" si="7"/>
        <v>42457.8</v>
      </c>
      <c r="AL67" s="272">
        <v>0</v>
      </c>
      <c r="AM67" s="212">
        <v>0</v>
      </c>
      <c r="AN67" s="269">
        <f t="shared" si="10"/>
        <v>210</v>
      </c>
      <c r="AO67" s="217">
        <f t="shared" si="11"/>
        <v>42457.8</v>
      </c>
      <c r="AP67" s="232"/>
      <c r="AQ67" s="229"/>
      <c r="AR67" s="212">
        <v>202.18</v>
      </c>
      <c r="AS67" s="212">
        <f t="shared" si="3"/>
        <v>0</v>
      </c>
      <c r="AT67" s="261">
        <f t="shared" si="4"/>
        <v>210</v>
      </c>
      <c r="AU67" s="262">
        <f t="shared" si="5"/>
        <v>42457.8</v>
      </c>
      <c r="AV67" s="267">
        <v>210</v>
      </c>
    </row>
    <row r="68" spans="1:48" s="62" customFormat="1" ht="26.25" customHeight="1">
      <c r="A68" s="59"/>
      <c r="B68" s="60"/>
      <c r="C68" s="60"/>
      <c r="D68" s="22">
        <v>52</v>
      </c>
      <c r="E68" s="79" t="s">
        <v>24</v>
      </c>
      <c r="F68" s="53" t="s">
        <v>65</v>
      </c>
      <c r="G68" s="222" t="s">
        <v>111</v>
      </c>
      <c r="H68" s="193" t="s">
        <v>91</v>
      </c>
      <c r="I68" s="193" t="s">
        <v>91</v>
      </c>
      <c r="J68" s="193"/>
      <c r="K68" s="193"/>
      <c r="L68" s="243"/>
      <c r="M68" s="242">
        <f t="shared" si="0"/>
        <v>0</v>
      </c>
      <c r="N68" s="243">
        <f t="shared" si="1"/>
        <v>0</v>
      </c>
      <c r="O68" s="193"/>
      <c r="P68" s="243"/>
      <c r="Q68" s="193"/>
      <c r="R68" s="243"/>
      <c r="S68" s="193"/>
      <c r="T68" s="243"/>
      <c r="U68" s="203" t="s">
        <v>161</v>
      </c>
      <c r="V68" s="115">
        <v>1053</v>
      </c>
      <c r="W68" s="114">
        <v>43255</v>
      </c>
      <c r="X68" s="193" t="s">
        <v>177</v>
      </c>
      <c r="Y68" s="200">
        <v>43285</v>
      </c>
      <c r="Z68" s="193" t="s">
        <v>178</v>
      </c>
      <c r="AA68" s="200">
        <v>43269</v>
      </c>
      <c r="AB68" s="22">
        <v>0</v>
      </c>
      <c r="AC68" s="170">
        <v>0</v>
      </c>
      <c r="AD68" s="209">
        <v>105</v>
      </c>
      <c r="AE68" s="194">
        <v>21228.9</v>
      </c>
      <c r="AF68" s="209"/>
      <c r="AG68" s="194"/>
      <c r="AH68" s="209"/>
      <c r="AI68" s="194"/>
      <c r="AJ68" s="233">
        <f t="shared" si="6"/>
        <v>105</v>
      </c>
      <c r="AK68" s="170">
        <f t="shared" si="7"/>
        <v>21228.9</v>
      </c>
      <c r="AL68" s="272">
        <v>0</v>
      </c>
      <c r="AM68" s="212">
        <v>0</v>
      </c>
      <c r="AN68" s="269">
        <f t="shared" si="10"/>
        <v>105</v>
      </c>
      <c r="AO68" s="217">
        <f t="shared" si="11"/>
        <v>21228.9</v>
      </c>
      <c r="AP68" s="232"/>
      <c r="AQ68" s="229"/>
      <c r="AR68" s="212">
        <v>202.18</v>
      </c>
      <c r="AS68" s="212">
        <f t="shared" si="3"/>
        <v>0</v>
      </c>
      <c r="AT68" s="261">
        <f t="shared" si="4"/>
        <v>105</v>
      </c>
      <c r="AU68" s="262">
        <f t="shared" si="5"/>
        <v>21228.9</v>
      </c>
      <c r="AV68" s="267">
        <v>105</v>
      </c>
    </row>
    <row r="69" spans="1:48" s="62" customFormat="1" ht="26.25" customHeight="1">
      <c r="A69" s="59"/>
      <c r="B69" s="60"/>
      <c r="C69" s="60"/>
      <c r="D69" s="22">
        <v>53</v>
      </c>
      <c r="E69" s="79" t="s">
        <v>24</v>
      </c>
      <c r="F69" s="53" t="s">
        <v>65</v>
      </c>
      <c r="G69" s="222" t="s">
        <v>111</v>
      </c>
      <c r="H69" s="193" t="s">
        <v>91</v>
      </c>
      <c r="I69" s="193" t="s">
        <v>91</v>
      </c>
      <c r="J69" s="193"/>
      <c r="K69" s="193"/>
      <c r="L69" s="243"/>
      <c r="M69" s="242">
        <f t="shared" si="0"/>
        <v>0</v>
      </c>
      <c r="N69" s="243">
        <f t="shared" si="1"/>
        <v>0</v>
      </c>
      <c r="O69" s="193"/>
      <c r="P69" s="243"/>
      <c r="Q69" s="193"/>
      <c r="R69" s="243"/>
      <c r="S69" s="193"/>
      <c r="T69" s="243"/>
      <c r="U69" s="203" t="s">
        <v>187</v>
      </c>
      <c r="V69" s="115">
        <v>1418</v>
      </c>
      <c r="W69" s="114">
        <v>43312</v>
      </c>
      <c r="X69" s="193" t="s">
        <v>184</v>
      </c>
      <c r="Y69" s="200">
        <v>43332</v>
      </c>
      <c r="Z69" s="193" t="s">
        <v>185</v>
      </c>
      <c r="AA69" s="200">
        <v>43320</v>
      </c>
      <c r="AB69" s="22">
        <v>0</v>
      </c>
      <c r="AC69" s="170">
        <v>0</v>
      </c>
      <c r="AD69" s="209">
        <v>30</v>
      </c>
      <c r="AE69" s="194">
        <v>5880</v>
      </c>
      <c r="AF69" s="209"/>
      <c r="AG69" s="194"/>
      <c r="AH69" s="209"/>
      <c r="AI69" s="194"/>
      <c r="AJ69" s="233">
        <f t="shared" si="6"/>
        <v>30</v>
      </c>
      <c r="AK69" s="170">
        <f t="shared" si="7"/>
        <v>5880</v>
      </c>
      <c r="AL69" s="272">
        <v>0</v>
      </c>
      <c r="AM69" s="212">
        <v>0</v>
      </c>
      <c r="AN69" s="269">
        <v>0</v>
      </c>
      <c r="AO69" s="217">
        <v>0</v>
      </c>
      <c r="AP69" s="232">
        <v>30</v>
      </c>
      <c r="AQ69" s="229"/>
      <c r="AR69" s="212">
        <v>196</v>
      </c>
      <c r="AS69" s="212">
        <f t="shared" si="3"/>
        <v>0</v>
      </c>
      <c r="AT69" s="261">
        <f t="shared" si="4"/>
        <v>30</v>
      </c>
      <c r="AU69" s="262">
        <f t="shared" si="5"/>
        <v>5880</v>
      </c>
      <c r="AV69" s="267">
        <v>30</v>
      </c>
    </row>
    <row r="70" spans="1:48" s="62" customFormat="1" ht="26.25" customHeight="1">
      <c r="A70" s="59"/>
      <c r="B70" s="60"/>
      <c r="C70" s="60"/>
      <c r="D70" s="22">
        <v>54</v>
      </c>
      <c r="E70" s="79" t="s">
        <v>24</v>
      </c>
      <c r="F70" s="51" t="s">
        <v>68</v>
      </c>
      <c r="G70" s="275" t="s">
        <v>146</v>
      </c>
      <c r="H70" s="115" t="s">
        <v>91</v>
      </c>
      <c r="I70" s="115" t="s">
        <v>91</v>
      </c>
      <c r="J70" s="115"/>
      <c r="K70" s="115"/>
      <c r="L70" s="276"/>
      <c r="M70" s="277">
        <f t="shared" si="0"/>
        <v>0</v>
      </c>
      <c r="N70" s="276">
        <f t="shared" si="1"/>
        <v>0</v>
      </c>
      <c r="O70" s="115">
        <v>250</v>
      </c>
      <c r="P70" s="276">
        <v>66042.58</v>
      </c>
      <c r="Q70" s="115"/>
      <c r="R70" s="276"/>
      <c r="S70" s="115"/>
      <c r="T70" s="276"/>
      <c r="U70" s="278" t="s">
        <v>181</v>
      </c>
      <c r="V70" s="115">
        <v>1405</v>
      </c>
      <c r="W70" s="114">
        <v>43052</v>
      </c>
      <c r="X70" s="115" t="s">
        <v>182</v>
      </c>
      <c r="Y70" s="221">
        <v>43201</v>
      </c>
      <c r="Z70" s="115"/>
      <c r="AA70" s="115"/>
      <c r="AB70" s="22">
        <v>0</v>
      </c>
      <c r="AC70" s="170">
        <v>0</v>
      </c>
      <c r="AD70" s="208">
        <v>125</v>
      </c>
      <c r="AE70" s="170">
        <v>26255</v>
      </c>
      <c r="AF70" s="208"/>
      <c r="AG70" s="170"/>
      <c r="AH70" s="208"/>
      <c r="AI70" s="170"/>
      <c r="AJ70" s="233">
        <f t="shared" si="6"/>
        <v>125</v>
      </c>
      <c r="AK70" s="170">
        <f t="shared" si="7"/>
        <v>26255</v>
      </c>
      <c r="AL70" s="270">
        <f>63+62</f>
        <v>125</v>
      </c>
      <c r="AM70" s="170">
        <v>26255</v>
      </c>
      <c r="AN70" s="270">
        <f t="shared" si="10"/>
        <v>0</v>
      </c>
      <c r="AO70" s="170">
        <f t="shared" si="11"/>
        <v>0</v>
      </c>
      <c r="AP70" s="233"/>
      <c r="AQ70" s="233"/>
      <c r="AR70" s="170">
        <v>210.04</v>
      </c>
      <c r="AS70" s="170">
        <f t="shared" si="3"/>
        <v>0</v>
      </c>
      <c r="AT70" s="208">
        <f t="shared" si="4"/>
        <v>0</v>
      </c>
      <c r="AU70" s="170">
        <f t="shared" si="5"/>
        <v>0</v>
      </c>
      <c r="AV70" s="22">
        <v>0</v>
      </c>
    </row>
    <row r="71" spans="1:48" s="62" customFormat="1" ht="26.25" customHeight="1">
      <c r="A71" s="59"/>
      <c r="B71" s="60"/>
      <c r="C71" s="60"/>
      <c r="D71" s="22">
        <v>55</v>
      </c>
      <c r="E71" s="79" t="s">
        <v>24</v>
      </c>
      <c r="F71" s="51" t="s">
        <v>68</v>
      </c>
      <c r="G71" s="275" t="s">
        <v>146</v>
      </c>
      <c r="H71" s="115" t="s">
        <v>91</v>
      </c>
      <c r="I71" s="115" t="s">
        <v>91</v>
      </c>
      <c r="J71" s="115"/>
      <c r="K71" s="115"/>
      <c r="L71" s="276"/>
      <c r="M71" s="277">
        <f t="shared" si="0"/>
        <v>0</v>
      </c>
      <c r="N71" s="276">
        <f t="shared" si="1"/>
        <v>0</v>
      </c>
      <c r="O71" s="115"/>
      <c r="P71" s="276"/>
      <c r="Q71" s="115"/>
      <c r="R71" s="276"/>
      <c r="S71" s="115"/>
      <c r="T71" s="276"/>
      <c r="U71" s="278" t="s">
        <v>145</v>
      </c>
      <c r="V71" s="115">
        <v>1381</v>
      </c>
      <c r="W71" s="114">
        <v>43047</v>
      </c>
      <c r="X71" s="115" t="s">
        <v>144</v>
      </c>
      <c r="Y71" s="221">
        <v>43201</v>
      </c>
      <c r="Z71" s="115"/>
      <c r="AA71" s="115"/>
      <c r="AB71" s="22">
        <v>0</v>
      </c>
      <c r="AC71" s="170">
        <v>0</v>
      </c>
      <c r="AD71" s="208">
        <v>80</v>
      </c>
      <c r="AE71" s="170">
        <v>16803.2</v>
      </c>
      <c r="AF71" s="208"/>
      <c r="AG71" s="170"/>
      <c r="AH71" s="208"/>
      <c r="AI71" s="170"/>
      <c r="AJ71" s="233">
        <f t="shared" si="6"/>
        <v>80</v>
      </c>
      <c r="AK71" s="170">
        <f t="shared" si="7"/>
        <v>16803.2</v>
      </c>
      <c r="AL71" s="270">
        <v>80</v>
      </c>
      <c r="AM71" s="170">
        <v>16803.2</v>
      </c>
      <c r="AN71" s="270">
        <f t="shared" si="10"/>
        <v>0</v>
      </c>
      <c r="AO71" s="170">
        <f t="shared" si="11"/>
        <v>0</v>
      </c>
      <c r="AP71" s="233"/>
      <c r="AQ71" s="233"/>
      <c r="AR71" s="170">
        <f>AM71/AL71</f>
        <v>210.04000000000002</v>
      </c>
      <c r="AS71" s="170">
        <f t="shared" si="3"/>
        <v>0</v>
      </c>
      <c r="AT71" s="208">
        <f t="shared" si="4"/>
        <v>0</v>
      </c>
      <c r="AU71" s="170">
        <f t="shared" si="5"/>
        <v>0</v>
      </c>
      <c r="AV71" s="22">
        <v>0</v>
      </c>
    </row>
    <row r="72" spans="1:48" s="62" customFormat="1" ht="26.25" customHeight="1">
      <c r="A72" s="59"/>
      <c r="B72" s="60"/>
      <c r="C72" s="60"/>
      <c r="D72" s="22">
        <v>56</v>
      </c>
      <c r="E72" s="79" t="s">
        <v>24</v>
      </c>
      <c r="F72" s="51" t="s">
        <v>68</v>
      </c>
      <c r="G72" s="275" t="s">
        <v>146</v>
      </c>
      <c r="H72" s="115" t="s">
        <v>91</v>
      </c>
      <c r="I72" s="115" t="s">
        <v>91</v>
      </c>
      <c r="J72" s="115"/>
      <c r="K72" s="115"/>
      <c r="L72" s="276"/>
      <c r="M72" s="277">
        <f t="shared" si="0"/>
        <v>0</v>
      </c>
      <c r="N72" s="276">
        <f t="shared" si="1"/>
        <v>0</v>
      </c>
      <c r="O72" s="115"/>
      <c r="P72" s="276"/>
      <c r="Q72" s="115"/>
      <c r="R72" s="276"/>
      <c r="S72" s="115"/>
      <c r="T72" s="276"/>
      <c r="U72" s="278" t="s">
        <v>148</v>
      </c>
      <c r="V72" s="115">
        <v>546</v>
      </c>
      <c r="W72" s="114">
        <v>43182</v>
      </c>
      <c r="X72" s="115" t="s">
        <v>149</v>
      </c>
      <c r="Y72" s="221">
        <v>43201</v>
      </c>
      <c r="Z72" s="115" t="s">
        <v>147</v>
      </c>
      <c r="AA72" s="221">
        <v>43252</v>
      </c>
      <c r="AB72" s="22">
        <v>0</v>
      </c>
      <c r="AC72" s="170">
        <v>0</v>
      </c>
      <c r="AD72" s="208">
        <v>10</v>
      </c>
      <c r="AE72" s="170">
        <v>2038.7</v>
      </c>
      <c r="AF72" s="208"/>
      <c r="AG72" s="170"/>
      <c r="AH72" s="208"/>
      <c r="AI72" s="170"/>
      <c r="AJ72" s="233">
        <f t="shared" si="6"/>
        <v>10</v>
      </c>
      <c r="AK72" s="170">
        <f t="shared" si="7"/>
        <v>2038.7</v>
      </c>
      <c r="AL72" s="270">
        <v>10</v>
      </c>
      <c r="AM72" s="170">
        <v>2038.7</v>
      </c>
      <c r="AN72" s="270">
        <f t="shared" si="10"/>
        <v>0</v>
      </c>
      <c r="AO72" s="170">
        <f t="shared" si="11"/>
        <v>0</v>
      </c>
      <c r="AP72" s="233"/>
      <c r="AQ72" s="233"/>
      <c r="AR72" s="170">
        <f>AM72/AL72</f>
        <v>203.87</v>
      </c>
      <c r="AS72" s="170">
        <f t="shared" si="3"/>
        <v>0</v>
      </c>
      <c r="AT72" s="208">
        <f t="shared" si="4"/>
        <v>0</v>
      </c>
      <c r="AU72" s="170">
        <f t="shared" si="5"/>
        <v>0</v>
      </c>
      <c r="AV72" s="22">
        <v>0</v>
      </c>
    </row>
    <row r="73" spans="1:48" s="62" customFormat="1" ht="26.25" customHeight="1">
      <c r="A73" s="59"/>
      <c r="B73" s="60"/>
      <c r="C73" s="60"/>
      <c r="D73" s="22">
        <v>57</v>
      </c>
      <c r="E73" s="79" t="s">
        <v>24</v>
      </c>
      <c r="F73" s="162" t="s">
        <v>68</v>
      </c>
      <c r="G73" s="222" t="s">
        <v>146</v>
      </c>
      <c r="H73" s="193" t="s">
        <v>91</v>
      </c>
      <c r="I73" s="193" t="s">
        <v>91</v>
      </c>
      <c r="J73" s="193"/>
      <c r="K73" s="193"/>
      <c r="L73" s="243"/>
      <c r="M73" s="242">
        <f t="shared" si="0"/>
        <v>0</v>
      </c>
      <c r="N73" s="243">
        <f t="shared" si="1"/>
        <v>0</v>
      </c>
      <c r="O73" s="193"/>
      <c r="P73" s="243"/>
      <c r="Q73" s="193"/>
      <c r="R73" s="243"/>
      <c r="S73" s="193"/>
      <c r="T73" s="243"/>
      <c r="U73" s="203" t="s">
        <v>148</v>
      </c>
      <c r="V73" s="115">
        <v>834</v>
      </c>
      <c r="W73" s="114">
        <v>43222</v>
      </c>
      <c r="X73" s="193" t="s">
        <v>162</v>
      </c>
      <c r="Y73" s="200">
        <v>43242</v>
      </c>
      <c r="Z73" s="193"/>
      <c r="AA73" s="193"/>
      <c r="AB73" s="22">
        <v>0</v>
      </c>
      <c r="AC73" s="170">
        <v>0</v>
      </c>
      <c r="AD73" s="209">
        <v>10</v>
      </c>
      <c r="AE73" s="194">
        <v>2100.4</v>
      </c>
      <c r="AF73" s="209"/>
      <c r="AG73" s="194"/>
      <c r="AH73" s="209"/>
      <c r="AI73" s="194"/>
      <c r="AJ73" s="233">
        <f t="shared" si="6"/>
        <v>10</v>
      </c>
      <c r="AK73" s="170">
        <f t="shared" si="7"/>
        <v>2100.4</v>
      </c>
      <c r="AL73" s="272">
        <v>0</v>
      </c>
      <c r="AM73" s="212">
        <v>0</v>
      </c>
      <c r="AN73" s="269">
        <f t="shared" si="10"/>
        <v>10</v>
      </c>
      <c r="AO73" s="217">
        <f t="shared" si="11"/>
        <v>2100.4</v>
      </c>
      <c r="AP73" s="232"/>
      <c r="AQ73" s="229"/>
      <c r="AR73" s="212">
        <v>210.04</v>
      </c>
      <c r="AS73" s="212">
        <f t="shared" si="3"/>
        <v>0</v>
      </c>
      <c r="AT73" s="261">
        <f t="shared" si="4"/>
        <v>10</v>
      </c>
      <c r="AU73" s="262">
        <f t="shared" si="5"/>
        <v>2100.4</v>
      </c>
      <c r="AV73" s="267">
        <v>10</v>
      </c>
    </row>
    <row r="74" spans="1:48" s="62" customFormat="1" ht="26.25" customHeight="1">
      <c r="A74" s="59"/>
      <c r="B74" s="60"/>
      <c r="C74" s="60"/>
      <c r="D74" s="22">
        <v>58</v>
      </c>
      <c r="E74" s="79" t="s">
        <v>24</v>
      </c>
      <c r="F74" s="162" t="s">
        <v>68</v>
      </c>
      <c r="G74" s="222" t="s">
        <v>146</v>
      </c>
      <c r="H74" s="193" t="s">
        <v>91</v>
      </c>
      <c r="I74" s="193" t="s">
        <v>91</v>
      </c>
      <c r="J74" s="193"/>
      <c r="K74" s="193"/>
      <c r="L74" s="243"/>
      <c r="M74" s="242">
        <f t="shared" si="0"/>
        <v>0</v>
      </c>
      <c r="N74" s="243">
        <f t="shared" si="1"/>
        <v>0</v>
      </c>
      <c r="O74" s="193"/>
      <c r="P74" s="243"/>
      <c r="Q74" s="193"/>
      <c r="R74" s="243"/>
      <c r="S74" s="193"/>
      <c r="T74" s="243"/>
      <c r="U74" s="203" t="s">
        <v>148</v>
      </c>
      <c r="V74" s="115">
        <v>1006</v>
      </c>
      <c r="W74" s="114">
        <v>43244</v>
      </c>
      <c r="X74" s="193" t="s">
        <v>179</v>
      </c>
      <c r="Y74" s="200">
        <v>43285</v>
      </c>
      <c r="Z74" s="193"/>
      <c r="AA74" s="193"/>
      <c r="AB74" s="22">
        <v>0</v>
      </c>
      <c r="AC74" s="170">
        <v>0</v>
      </c>
      <c r="AD74" s="209">
        <v>5</v>
      </c>
      <c r="AE74" s="194">
        <v>1019.35</v>
      </c>
      <c r="AF74" s="209"/>
      <c r="AG74" s="194"/>
      <c r="AH74" s="209"/>
      <c r="AI74" s="194"/>
      <c r="AJ74" s="233">
        <f t="shared" si="6"/>
        <v>5</v>
      </c>
      <c r="AK74" s="170">
        <f t="shared" si="7"/>
        <v>1019.35</v>
      </c>
      <c r="AL74" s="272">
        <v>0</v>
      </c>
      <c r="AM74" s="212">
        <v>0</v>
      </c>
      <c r="AN74" s="269">
        <f t="shared" si="10"/>
        <v>5</v>
      </c>
      <c r="AO74" s="217">
        <f t="shared" si="11"/>
        <v>1019.35</v>
      </c>
      <c r="AP74" s="232"/>
      <c r="AQ74" s="229"/>
      <c r="AR74" s="212">
        <v>203.87</v>
      </c>
      <c r="AS74" s="212">
        <f t="shared" si="3"/>
        <v>0</v>
      </c>
      <c r="AT74" s="261">
        <f t="shared" si="4"/>
        <v>5</v>
      </c>
      <c r="AU74" s="262">
        <f t="shared" si="5"/>
        <v>1019.35</v>
      </c>
      <c r="AV74" s="267">
        <v>5</v>
      </c>
    </row>
    <row r="75" spans="1:48" s="134" customFormat="1" ht="25.5" customHeight="1">
      <c r="A75" s="131"/>
      <c r="B75" s="132"/>
      <c r="C75" s="60"/>
      <c r="D75" s="22">
        <v>59</v>
      </c>
      <c r="E75" s="79" t="s">
        <v>24</v>
      </c>
      <c r="F75" s="140" t="s">
        <v>55</v>
      </c>
      <c r="G75" s="222" t="s">
        <v>114</v>
      </c>
      <c r="H75" s="193" t="s">
        <v>91</v>
      </c>
      <c r="I75" s="193" t="s">
        <v>91</v>
      </c>
      <c r="J75" s="193">
        <v>360</v>
      </c>
      <c r="K75" s="193">
        <v>1</v>
      </c>
      <c r="L75" s="243">
        <v>303.16000000000003</v>
      </c>
      <c r="M75" s="242">
        <f t="shared" si="0"/>
        <v>360</v>
      </c>
      <c r="N75" s="243">
        <f t="shared" si="1"/>
        <v>109137.60000000001</v>
      </c>
      <c r="O75" s="193">
        <v>180</v>
      </c>
      <c r="P75" s="243">
        <v>49667.4</v>
      </c>
      <c r="Q75" s="193">
        <v>360</v>
      </c>
      <c r="R75" s="243">
        <v>107470.8</v>
      </c>
      <c r="S75" s="193">
        <v>90</v>
      </c>
      <c r="T75" s="243">
        <v>27284.400000000001</v>
      </c>
      <c r="U75" s="203" t="s">
        <v>115</v>
      </c>
      <c r="V75" s="115">
        <v>1583</v>
      </c>
      <c r="W75" s="114">
        <v>43082</v>
      </c>
      <c r="X75" s="193" t="s">
        <v>113</v>
      </c>
      <c r="Y75" s="200">
        <v>43109</v>
      </c>
      <c r="Z75" s="193" t="s">
        <v>110</v>
      </c>
      <c r="AA75" s="200">
        <v>43111</v>
      </c>
      <c r="AB75" s="22">
        <v>0</v>
      </c>
      <c r="AC75" s="170">
        <v>0</v>
      </c>
      <c r="AD75" s="209">
        <v>8</v>
      </c>
      <c r="AE75" s="194">
        <v>2388</v>
      </c>
      <c r="AF75" s="209"/>
      <c r="AG75" s="194"/>
      <c r="AH75" s="209"/>
      <c r="AI75" s="194"/>
      <c r="AJ75" s="233">
        <f t="shared" si="6"/>
        <v>8</v>
      </c>
      <c r="AK75" s="170">
        <f t="shared" si="7"/>
        <v>2388</v>
      </c>
      <c r="AL75" s="272">
        <v>0</v>
      </c>
      <c r="AM75" s="212">
        <v>0</v>
      </c>
      <c r="AN75" s="269">
        <f t="shared" si="10"/>
        <v>8</v>
      </c>
      <c r="AO75" s="217">
        <f t="shared" si="11"/>
        <v>2388</v>
      </c>
      <c r="AP75" s="232"/>
      <c r="AQ75" s="229"/>
      <c r="AR75" s="212">
        <v>298.5</v>
      </c>
      <c r="AS75" s="212">
        <f t="shared" si="3"/>
        <v>0</v>
      </c>
      <c r="AT75" s="261">
        <f t="shared" si="4"/>
        <v>8</v>
      </c>
      <c r="AU75" s="262">
        <f t="shared" si="5"/>
        <v>2388</v>
      </c>
      <c r="AV75" s="267">
        <v>8</v>
      </c>
    </row>
    <row r="76" spans="1:48" s="62" customFormat="1" ht="25.5" customHeight="1">
      <c r="A76" s="59"/>
      <c r="B76" s="60"/>
      <c r="C76" s="60"/>
      <c r="D76" s="22">
        <v>60</v>
      </c>
      <c r="E76" s="79" t="s">
        <v>24</v>
      </c>
      <c r="F76" s="140" t="s">
        <v>55</v>
      </c>
      <c r="G76" s="222" t="s">
        <v>114</v>
      </c>
      <c r="H76" s="193" t="s">
        <v>91</v>
      </c>
      <c r="I76" s="193" t="s">
        <v>91</v>
      </c>
      <c r="J76" s="193"/>
      <c r="K76" s="193"/>
      <c r="L76" s="243"/>
      <c r="M76" s="242">
        <f t="shared" si="0"/>
        <v>0</v>
      </c>
      <c r="N76" s="243">
        <f t="shared" si="1"/>
        <v>0</v>
      </c>
      <c r="O76" s="193"/>
      <c r="P76" s="243"/>
      <c r="Q76" s="193"/>
      <c r="R76" s="243"/>
      <c r="S76" s="193"/>
      <c r="T76" s="243"/>
      <c r="U76" s="203" t="s">
        <v>137</v>
      </c>
      <c r="V76" s="115">
        <v>427</v>
      </c>
      <c r="W76" s="114">
        <v>43164</v>
      </c>
      <c r="X76" s="193" t="s">
        <v>138</v>
      </c>
      <c r="Y76" s="200">
        <v>43164</v>
      </c>
      <c r="Z76" s="193"/>
      <c r="AA76" s="193"/>
      <c r="AB76" s="22">
        <v>0</v>
      </c>
      <c r="AC76" s="170">
        <v>0</v>
      </c>
      <c r="AD76" s="209">
        <v>34</v>
      </c>
      <c r="AE76" s="194">
        <v>10149</v>
      </c>
      <c r="AF76" s="209"/>
      <c r="AG76" s="194"/>
      <c r="AH76" s="209"/>
      <c r="AI76" s="194"/>
      <c r="AJ76" s="233">
        <f t="shared" si="6"/>
        <v>34</v>
      </c>
      <c r="AK76" s="170">
        <f t="shared" si="7"/>
        <v>10149</v>
      </c>
      <c r="AL76" s="272">
        <v>0</v>
      </c>
      <c r="AM76" s="212">
        <v>0</v>
      </c>
      <c r="AN76" s="269">
        <f t="shared" si="10"/>
        <v>34</v>
      </c>
      <c r="AO76" s="217">
        <f t="shared" si="11"/>
        <v>10149</v>
      </c>
      <c r="AP76" s="232"/>
      <c r="AQ76" s="229"/>
      <c r="AR76" s="212">
        <v>298.5</v>
      </c>
      <c r="AS76" s="212">
        <f t="shared" si="3"/>
        <v>0</v>
      </c>
      <c r="AT76" s="261">
        <f t="shared" si="4"/>
        <v>34</v>
      </c>
      <c r="AU76" s="262">
        <f t="shared" si="5"/>
        <v>10149</v>
      </c>
      <c r="AV76" s="267">
        <v>34</v>
      </c>
    </row>
    <row r="77" spans="1:48" s="62" customFormat="1" ht="25.5" customHeight="1">
      <c r="A77" s="59"/>
      <c r="B77" s="60"/>
      <c r="C77" s="60"/>
      <c r="D77" s="22">
        <v>61</v>
      </c>
      <c r="E77" s="79" t="s">
        <v>24</v>
      </c>
      <c r="F77" s="140" t="s">
        <v>55</v>
      </c>
      <c r="G77" s="222" t="s">
        <v>114</v>
      </c>
      <c r="H77" s="193" t="s">
        <v>91</v>
      </c>
      <c r="I77" s="193" t="s">
        <v>91</v>
      </c>
      <c r="J77" s="193"/>
      <c r="K77" s="193"/>
      <c r="L77" s="243"/>
      <c r="M77" s="242">
        <f t="shared" si="0"/>
        <v>0</v>
      </c>
      <c r="N77" s="243">
        <f t="shared" si="1"/>
        <v>0</v>
      </c>
      <c r="O77" s="193"/>
      <c r="P77" s="243"/>
      <c r="Q77" s="193"/>
      <c r="R77" s="243"/>
      <c r="S77" s="193"/>
      <c r="T77" s="243"/>
      <c r="U77" s="203" t="s">
        <v>153</v>
      </c>
      <c r="V77" s="115">
        <v>613</v>
      </c>
      <c r="W77" s="114">
        <v>43193</v>
      </c>
      <c r="X77" s="193">
        <v>97</v>
      </c>
      <c r="Y77" s="200">
        <v>43202</v>
      </c>
      <c r="Z77" s="193" t="s">
        <v>154</v>
      </c>
      <c r="AA77" s="200">
        <v>43214</v>
      </c>
      <c r="AB77" s="22">
        <v>0</v>
      </c>
      <c r="AC77" s="170">
        <v>0</v>
      </c>
      <c r="AD77" s="209">
        <v>270</v>
      </c>
      <c r="AE77" s="194">
        <v>80595</v>
      </c>
      <c r="AF77" s="209"/>
      <c r="AG77" s="194"/>
      <c r="AH77" s="209"/>
      <c r="AI77" s="194"/>
      <c r="AJ77" s="233">
        <f t="shared" si="6"/>
        <v>270</v>
      </c>
      <c r="AK77" s="170">
        <f t="shared" si="7"/>
        <v>80595</v>
      </c>
      <c r="AL77" s="272">
        <v>0</v>
      </c>
      <c r="AM77" s="212">
        <v>0</v>
      </c>
      <c r="AN77" s="269">
        <f t="shared" si="10"/>
        <v>270</v>
      </c>
      <c r="AO77" s="217">
        <f t="shared" si="11"/>
        <v>80595</v>
      </c>
      <c r="AP77" s="232"/>
      <c r="AQ77" s="229"/>
      <c r="AR77" s="212">
        <v>298.5</v>
      </c>
      <c r="AS77" s="212">
        <f t="shared" si="3"/>
        <v>0</v>
      </c>
      <c r="AT77" s="261">
        <f t="shared" si="4"/>
        <v>270</v>
      </c>
      <c r="AU77" s="262">
        <f t="shared" si="5"/>
        <v>80595</v>
      </c>
      <c r="AV77" s="267">
        <v>270</v>
      </c>
    </row>
    <row r="78" spans="1:48" s="62" customFormat="1" ht="25.5" customHeight="1">
      <c r="A78" s="59"/>
      <c r="B78" s="60"/>
      <c r="C78" s="60"/>
      <c r="D78" s="22">
        <v>62</v>
      </c>
      <c r="E78" s="79" t="s">
        <v>24</v>
      </c>
      <c r="F78" s="140" t="s">
        <v>55</v>
      </c>
      <c r="G78" s="222" t="s">
        <v>114</v>
      </c>
      <c r="H78" s="193" t="s">
        <v>91</v>
      </c>
      <c r="I78" s="193" t="s">
        <v>91</v>
      </c>
      <c r="J78" s="193"/>
      <c r="K78" s="193"/>
      <c r="L78" s="243"/>
      <c r="M78" s="242">
        <f t="shared" si="0"/>
        <v>0</v>
      </c>
      <c r="N78" s="243">
        <f t="shared" si="1"/>
        <v>0</v>
      </c>
      <c r="O78" s="193"/>
      <c r="P78" s="243"/>
      <c r="Q78" s="193"/>
      <c r="R78" s="243"/>
      <c r="S78" s="193"/>
      <c r="T78" s="243"/>
      <c r="U78" s="203" t="s">
        <v>115</v>
      </c>
      <c r="V78" s="115">
        <v>612</v>
      </c>
      <c r="W78" s="114">
        <v>43193</v>
      </c>
      <c r="X78" s="193">
        <v>97</v>
      </c>
      <c r="Y78" s="200">
        <v>43202</v>
      </c>
      <c r="Z78" s="193" t="s">
        <v>155</v>
      </c>
      <c r="AA78" s="200">
        <v>43214</v>
      </c>
      <c r="AB78" s="22">
        <v>0</v>
      </c>
      <c r="AC78" s="170">
        <v>0</v>
      </c>
      <c r="AD78" s="209">
        <v>40</v>
      </c>
      <c r="AE78" s="194">
        <v>11940</v>
      </c>
      <c r="AF78" s="209"/>
      <c r="AG78" s="194"/>
      <c r="AH78" s="209"/>
      <c r="AI78" s="194"/>
      <c r="AJ78" s="233">
        <f t="shared" si="6"/>
        <v>40</v>
      </c>
      <c r="AK78" s="170">
        <f t="shared" si="7"/>
        <v>11940</v>
      </c>
      <c r="AL78" s="272">
        <v>0</v>
      </c>
      <c r="AM78" s="212">
        <v>0</v>
      </c>
      <c r="AN78" s="269">
        <f t="shared" si="10"/>
        <v>40</v>
      </c>
      <c r="AO78" s="217">
        <f t="shared" si="11"/>
        <v>11940</v>
      </c>
      <c r="AP78" s="232"/>
      <c r="AQ78" s="229"/>
      <c r="AR78" s="212">
        <v>298.5</v>
      </c>
      <c r="AS78" s="212">
        <f t="shared" si="3"/>
        <v>0</v>
      </c>
      <c r="AT78" s="261">
        <f t="shared" si="4"/>
        <v>40</v>
      </c>
      <c r="AU78" s="262">
        <f t="shared" si="5"/>
        <v>11940</v>
      </c>
      <c r="AV78" s="267">
        <v>40</v>
      </c>
    </row>
    <row r="79" spans="1:48" s="62" customFormat="1" ht="25.5" customHeight="1">
      <c r="A79" s="59"/>
      <c r="B79" s="60"/>
      <c r="C79" s="60"/>
      <c r="D79" s="22">
        <v>63</v>
      </c>
      <c r="E79" s="79" t="s">
        <v>24</v>
      </c>
      <c r="F79" s="173" t="s">
        <v>64</v>
      </c>
      <c r="G79" s="222" t="s">
        <v>140</v>
      </c>
      <c r="H79" s="193" t="s">
        <v>91</v>
      </c>
      <c r="I79" s="193" t="s">
        <v>91</v>
      </c>
      <c r="J79" s="193">
        <v>1080</v>
      </c>
      <c r="K79" s="193">
        <v>2</v>
      </c>
      <c r="L79" s="243">
        <v>304.58999999999997</v>
      </c>
      <c r="M79" s="242">
        <f t="shared" si="0"/>
        <v>2160</v>
      </c>
      <c r="N79" s="243">
        <f t="shared" si="1"/>
        <v>657914.39999999991</v>
      </c>
      <c r="O79" s="193">
        <v>180</v>
      </c>
      <c r="P79" s="243">
        <v>49908.6</v>
      </c>
      <c r="Q79" s="193">
        <v>1080</v>
      </c>
      <c r="R79" s="243">
        <v>323838</v>
      </c>
      <c r="S79" s="193">
        <v>602</v>
      </c>
      <c r="T79" s="243">
        <v>183363.18</v>
      </c>
      <c r="U79" s="203" t="s">
        <v>139</v>
      </c>
      <c r="V79" s="115">
        <v>427</v>
      </c>
      <c r="W79" s="114">
        <v>43164</v>
      </c>
      <c r="X79" s="193" t="s">
        <v>138</v>
      </c>
      <c r="Y79" s="200">
        <v>43164</v>
      </c>
      <c r="Z79" s="193"/>
      <c r="AA79" s="193"/>
      <c r="AB79" s="22">
        <v>0</v>
      </c>
      <c r="AC79" s="170">
        <v>0</v>
      </c>
      <c r="AD79" s="209">
        <v>56</v>
      </c>
      <c r="AE79" s="194">
        <v>16794.400000000001</v>
      </c>
      <c r="AF79" s="209"/>
      <c r="AG79" s="194"/>
      <c r="AH79" s="209"/>
      <c r="AI79" s="194"/>
      <c r="AJ79" s="233">
        <f t="shared" si="6"/>
        <v>56</v>
      </c>
      <c r="AK79" s="170">
        <f t="shared" si="7"/>
        <v>16794.400000000001</v>
      </c>
      <c r="AL79" s="272">
        <v>0</v>
      </c>
      <c r="AM79" s="212">
        <v>0</v>
      </c>
      <c r="AN79" s="269">
        <f t="shared" si="10"/>
        <v>56</v>
      </c>
      <c r="AO79" s="217">
        <f t="shared" si="11"/>
        <v>16794.400000000001</v>
      </c>
      <c r="AP79" s="232"/>
      <c r="AQ79" s="229"/>
      <c r="AR79" s="212">
        <v>299.89999999999998</v>
      </c>
      <c r="AS79" s="212">
        <f t="shared" si="3"/>
        <v>0</v>
      </c>
      <c r="AT79" s="261">
        <f t="shared" si="4"/>
        <v>56</v>
      </c>
      <c r="AU79" s="262">
        <f t="shared" si="5"/>
        <v>16794.399999999998</v>
      </c>
      <c r="AV79" s="267">
        <v>56</v>
      </c>
    </row>
    <row r="80" spans="1:48" s="62" customFormat="1" ht="25.5" customHeight="1">
      <c r="A80" s="59"/>
      <c r="B80" s="60"/>
      <c r="C80" s="60"/>
      <c r="D80" s="22">
        <v>64</v>
      </c>
      <c r="E80" s="79" t="s">
        <v>24</v>
      </c>
      <c r="F80" s="173" t="s">
        <v>64</v>
      </c>
      <c r="G80" s="222" t="s">
        <v>140</v>
      </c>
      <c r="H80" s="193" t="s">
        <v>91</v>
      </c>
      <c r="I80" s="193" t="s">
        <v>91</v>
      </c>
      <c r="J80" s="193"/>
      <c r="K80" s="193"/>
      <c r="L80" s="243"/>
      <c r="M80" s="242">
        <f t="shared" si="0"/>
        <v>0</v>
      </c>
      <c r="N80" s="243">
        <f t="shared" si="1"/>
        <v>0</v>
      </c>
      <c r="O80" s="193"/>
      <c r="P80" s="243"/>
      <c r="Q80" s="193"/>
      <c r="R80" s="243"/>
      <c r="S80" s="193"/>
      <c r="T80" s="243"/>
      <c r="U80" s="203" t="s">
        <v>157</v>
      </c>
      <c r="V80" s="115">
        <v>605</v>
      </c>
      <c r="W80" s="114">
        <v>43193</v>
      </c>
      <c r="X80" s="193">
        <v>97</v>
      </c>
      <c r="Y80" s="200">
        <v>43202</v>
      </c>
      <c r="Z80" s="193" t="s">
        <v>158</v>
      </c>
      <c r="AA80" s="200">
        <v>43216</v>
      </c>
      <c r="AB80" s="22">
        <v>0</v>
      </c>
      <c r="AC80" s="170">
        <v>0</v>
      </c>
      <c r="AD80" s="209">
        <v>510</v>
      </c>
      <c r="AE80" s="194">
        <v>152949</v>
      </c>
      <c r="AF80" s="209"/>
      <c r="AG80" s="194"/>
      <c r="AH80" s="209"/>
      <c r="AI80" s="194"/>
      <c r="AJ80" s="233">
        <f t="shared" si="6"/>
        <v>510</v>
      </c>
      <c r="AK80" s="170">
        <f t="shared" si="7"/>
        <v>152949</v>
      </c>
      <c r="AL80" s="272">
        <v>0</v>
      </c>
      <c r="AM80" s="212">
        <v>0</v>
      </c>
      <c r="AN80" s="269">
        <f t="shared" si="10"/>
        <v>510</v>
      </c>
      <c r="AO80" s="217">
        <f t="shared" si="11"/>
        <v>152949</v>
      </c>
      <c r="AP80" s="232"/>
      <c r="AQ80" s="229"/>
      <c r="AR80" s="212">
        <v>299.89999999999998</v>
      </c>
      <c r="AS80" s="212">
        <f t="shared" si="3"/>
        <v>0</v>
      </c>
      <c r="AT80" s="261">
        <f t="shared" si="4"/>
        <v>510</v>
      </c>
      <c r="AU80" s="262">
        <f t="shared" si="5"/>
        <v>152949</v>
      </c>
      <c r="AV80" s="267">
        <v>510</v>
      </c>
    </row>
    <row r="81" spans="1:48" s="62" customFormat="1" ht="31.5">
      <c r="A81" s="59"/>
      <c r="B81" s="60"/>
      <c r="C81" s="60"/>
      <c r="D81" s="22">
        <v>65</v>
      </c>
      <c r="E81" s="79" t="s">
        <v>24</v>
      </c>
      <c r="F81" s="150" t="s">
        <v>57</v>
      </c>
      <c r="G81" s="222" t="s">
        <v>121</v>
      </c>
      <c r="H81" s="193" t="s">
        <v>91</v>
      </c>
      <c r="I81" s="193" t="s">
        <v>91</v>
      </c>
      <c r="J81" s="193">
        <v>480</v>
      </c>
      <c r="K81" s="193">
        <v>3</v>
      </c>
      <c r="L81" s="243">
        <v>19.399999999999999</v>
      </c>
      <c r="M81" s="242">
        <f>J81*K81</f>
        <v>1440</v>
      </c>
      <c r="N81" s="243">
        <f t="shared" si="1"/>
        <v>27935.999999999996</v>
      </c>
      <c r="O81" s="193">
        <v>6637</v>
      </c>
      <c r="P81" s="243">
        <v>108249.47</v>
      </c>
      <c r="Q81" s="193">
        <v>4000</v>
      </c>
      <c r="R81" s="243">
        <v>89720</v>
      </c>
      <c r="S81" s="193"/>
      <c r="T81" s="243"/>
      <c r="U81" s="203" t="s">
        <v>120</v>
      </c>
      <c r="V81" s="115">
        <v>1745</v>
      </c>
      <c r="W81" s="114">
        <v>43096</v>
      </c>
      <c r="X81" s="193" t="s">
        <v>117</v>
      </c>
      <c r="Y81" s="200">
        <v>43109</v>
      </c>
      <c r="Z81" s="193" t="s">
        <v>118</v>
      </c>
      <c r="AA81" s="200">
        <v>43133</v>
      </c>
      <c r="AB81" s="22">
        <v>0</v>
      </c>
      <c r="AC81" s="170">
        <v>0</v>
      </c>
      <c r="AD81" s="209">
        <v>6637</v>
      </c>
      <c r="AE81" s="194">
        <v>102541.65</v>
      </c>
      <c r="AF81" s="209"/>
      <c r="AG81" s="194"/>
      <c r="AH81" s="209"/>
      <c r="AI81" s="194"/>
      <c r="AJ81" s="233">
        <f t="shared" si="6"/>
        <v>6637</v>
      </c>
      <c r="AK81" s="170">
        <f t="shared" si="7"/>
        <v>102541.65</v>
      </c>
      <c r="AL81" s="272">
        <f>180+290</f>
        <v>470</v>
      </c>
      <c r="AM81" s="212">
        <f>AL81*AR81</f>
        <v>7261.5</v>
      </c>
      <c r="AN81" s="269">
        <v>6457</v>
      </c>
      <c r="AO81" s="217">
        <f t="shared" si="11"/>
        <v>95280.15</v>
      </c>
      <c r="AP81" s="232"/>
      <c r="AQ81" s="229">
        <v>290</v>
      </c>
      <c r="AR81" s="212">
        <v>15.45</v>
      </c>
      <c r="AS81" s="212">
        <f t="shared" si="3"/>
        <v>4480.5</v>
      </c>
      <c r="AT81" s="261">
        <f t="shared" si="4"/>
        <v>6167</v>
      </c>
      <c r="AU81" s="262">
        <f t="shared" si="5"/>
        <v>95280.15</v>
      </c>
      <c r="AV81" s="284">
        <f>AT81</f>
        <v>6167</v>
      </c>
    </row>
    <row r="82" spans="1:48" s="62" customFormat="1" ht="31.5">
      <c r="A82" s="59"/>
      <c r="B82" s="60"/>
      <c r="C82" s="60"/>
      <c r="D82" s="22">
        <v>66</v>
      </c>
      <c r="E82" s="79" t="s">
        <v>24</v>
      </c>
      <c r="F82" s="150" t="s">
        <v>57</v>
      </c>
      <c r="G82" s="222" t="s">
        <v>121</v>
      </c>
      <c r="H82" s="193" t="s">
        <v>91</v>
      </c>
      <c r="I82" s="193" t="s">
        <v>91</v>
      </c>
      <c r="J82" s="193"/>
      <c r="K82" s="193"/>
      <c r="L82" s="243"/>
      <c r="M82" s="242">
        <f t="shared" ref="M82:M83" si="12">J82*K82</f>
        <v>0</v>
      </c>
      <c r="N82" s="243">
        <f t="shared" ref="N82:N84" si="13">L82*M82</f>
        <v>0</v>
      </c>
      <c r="O82" s="193"/>
      <c r="P82" s="243"/>
      <c r="Q82" s="193"/>
      <c r="R82" s="243"/>
      <c r="S82" s="193"/>
      <c r="T82" s="243"/>
      <c r="U82" s="203" t="s">
        <v>173</v>
      </c>
      <c r="V82" s="115">
        <v>834</v>
      </c>
      <c r="W82" s="114">
        <v>43222</v>
      </c>
      <c r="X82" s="193" t="s">
        <v>162</v>
      </c>
      <c r="Y82" s="200">
        <v>43242</v>
      </c>
      <c r="Z82" s="193"/>
      <c r="AA82" s="193"/>
      <c r="AB82" s="22">
        <v>0</v>
      </c>
      <c r="AC82" s="170">
        <v>0</v>
      </c>
      <c r="AD82" s="209">
        <v>144</v>
      </c>
      <c r="AE82" s="194">
        <v>2142.7199999999998</v>
      </c>
      <c r="AF82" s="209"/>
      <c r="AG82" s="194"/>
      <c r="AH82" s="209"/>
      <c r="AI82" s="194"/>
      <c r="AJ82" s="233">
        <f t="shared" si="6"/>
        <v>144</v>
      </c>
      <c r="AK82" s="170">
        <f t="shared" si="7"/>
        <v>2142.7199999999998</v>
      </c>
      <c r="AL82" s="272">
        <v>0</v>
      </c>
      <c r="AM82" s="212">
        <v>0</v>
      </c>
      <c r="AN82" s="269">
        <f t="shared" si="10"/>
        <v>144</v>
      </c>
      <c r="AO82" s="217">
        <f t="shared" si="11"/>
        <v>2142.7199999999998</v>
      </c>
      <c r="AP82" s="232"/>
      <c r="AQ82" s="229"/>
      <c r="AR82" s="212">
        <v>14.88</v>
      </c>
      <c r="AS82" s="212">
        <f t="shared" si="3"/>
        <v>0</v>
      </c>
      <c r="AT82" s="261">
        <f t="shared" si="4"/>
        <v>144</v>
      </c>
      <c r="AU82" s="262">
        <f t="shared" si="5"/>
        <v>2142.7200000000003</v>
      </c>
      <c r="AV82" s="267">
        <v>144</v>
      </c>
    </row>
    <row r="83" spans="1:48" s="62" customFormat="1" ht="31.5">
      <c r="A83" s="59"/>
      <c r="B83" s="60"/>
      <c r="C83" s="60"/>
      <c r="D83" s="22">
        <v>67</v>
      </c>
      <c r="E83" s="79" t="s">
        <v>24</v>
      </c>
      <c r="F83" s="150" t="s">
        <v>57</v>
      </c>
      <c r="G83" s="222" t="s">
        <v>121</v>
      </c>
      <c r="H83" s="193" t="s">
        <v>91</v>
      </c>
      <c r="I83" s="193" t="s">
        <v>91</v>
      </c>
      <c r="J83" s="193"/>
      <c r="K83" s="193"/>
      <c r="L83" s="243"/>
      <c r="M83" s="242">
        <f t="shared" si="12"/>
        <v>0</v>
      </c>
      <c r="N83" s="243">
        <f t="shared" si="13"/>
        <v>0</v>
      </c>
      <c r="O83" s="193"/>
      <c r="P83" s="243"/>
      <c r="Q83" s="193"/>
      <c r="R83" s="243"/>
      <c r="S83" s="193"/>
      <c r="T83" s="243"/>
      <c r="U83" s="203" t="s">
        <v>183</v>
      </c>
      <c r="V83" s="115">
        <v>1418</v>
      </c>
      <c r="W83" s="114">
        <v>43312</v>
      </c>
      <c r="X83" s="193" t="s">
        <v>184</v>
      </c>
      <c r="Y83" s="200">
        <v>43332</v>
      </c>
      <c r="Z83" s="193" t="s">
        <v>185</v>
      </c>
      <c r="AA83" s="200">
        <v>43320</v>
      </c>
      <c r="AB83" s="22">
        <v>0</v>
      </c>
      <c r="AC83" s="170">
        <v>0</v>
      </c>
      <c r="AD83" s="209">
        <v>76</v>
      </c>
      <c r="AE83" s="194">
        <v>1130.8800000000001</v>
      </c>
      <c r="AF83" s="209"/>
      <c r="AG83" s="194"/>
      <c r="AH83" s="209"/>
      <c r="AI83" s="194"/>
      <c r="AJ83" s="233">
        <f t="shared" si="6"/>
        <v>76</v>
      </c>
      <c r="AK83" s="170">
        <f t="shared" si="7"/>
        <v>1130.8800000000001</v>
      </c>
      <c r="AL83" s="272">
        <v>0</v>
      </c>
      <c r="AM83" s="212">
        <v>0</v>
      </c>
      <c r="AN83" s="269">
        <v>0</v>
      </c>
      <c r="AO83" s="217">
        <v>0</v>
      </c>
      <c r="AP83" s="232">
        <v>76</v>
      </c>
      <c r="AQ83" s="229"/>
      <c r="AR83" s="212">
        <v>14.88</v>
      </c>
      <c r="AS83" s="212">
        <f t="shared" si="3"/>
        <v>0</v>
      </c>
      <c r="AT83" s="261">
        <f t="shared" si="4"/>
        <v>76</v>
      </c>
      <c r="AU83" s="262">
        <f t="shared" si="5"/>
        <v>1130.8800000000001</v>
      </c>
      <c r="AV83" s="267">
        <v>76</v>
      </c>
    </row>
    <row r="84" spans="1:48" s="62" customFormat="1" ht="26.25" customHeight="1">
      <c r="A84" s="59"/>
      <c r="B84" s="60"/>
      <c r="C84" s="60"/>
      <c r="D84" s="22">
        <v>68</v>
      </c>
      <c r="E84" s="79" t="s">
        <v>24</v>
      </c>
      <c r="F84" s="178" t="s">
        <v>58</v>
      </c>
      <c r="G84" s="222" t="s">
        <v>123</v>
      </c>
      <c r="H84" s="193" t="s">
        <v>91</v>
      </c>
      <c r="I84" s="193" t="s">
        <v>91</v>
      </c>
      <c r="J84" s="193">
        <v>5</v>
      </c>
      <c r="K84" s="193">
        <v>5</v>
      </c>
      <c r="L84" s="243">
        <v>2899.28</v>
      </c>
      <c r="M84" s="242">
        <f>J84*K84</f>
        <v>25</v>
      </c>
      <c r="N84" s="243">
        <f t="shared" si="13"/>
        <v>72482</v>
      </c>
      <c r="O84" s="193">
        <v>4</v>
      </c>
      <c r="P84" s="243">
        <v>8377.6</v>
      </c>
      <c r="Q84" s="193"/>
      <c r="R84" s="243"/>
      <c r="S84" s="193"/>
      <c r="T84" s="243"/>
      <c r="U84" s="203" t="s">
        <v>122</v>
      </c>
      <c r="V84" s="115">
        <v>1745</v>
      </c>
      <c r="W84" s="114">
        <v>43096</v>
      </c>
      <c r="X84" s="193" t="s">
        <v>117</v>
      </c>
      <c r="Y84" s="200">
        <v>43109</v>
      </c>
      <c r="Z84" s="193" t="s">
        <v>118</v>
      </c>
      <c r="AA84" s="200">
        <v>43133</v>
      </c>
      <c r="AB84" s="22">
        <v>0</v>
      </c>
      <c r="AC84" s="170">
        <v>0</v>
      </c>
      <c r="AD84" s="209">
        <v>4</v>
      </c>
      <c r="AE84" s="194">
        <v>9062.24</v>
      </c>
      <c r="AF84" s="209"/>
      <c r="AG84" s="194"/>
      <c r="AH84" s="209"/>
      <c r="AI84" s="194"/>
      <c r="AJ84" s="233">
        <f t="shared" si="6"/>
        <v>4</v>
      </c>
      <c r="AK84" s="170">
        <f t="shared" si="7"/>
        <v>9062.24</v>
      </c>
      <c r="AL84" s="272">
        <v>0</v>
      </c>
      <c r="AM84" s="212">
        <v>0</v>
      </c>
      <c r="AN84" s="269">
        <f t="shared" ref="AN84:AN90" si="14">AB84+AJ84-AL84</f>
        <v>4</v>
      </c>
      <c r="AO84" s="217">
        <f t="shared" ref="AO84:AO90" si="15">AC84+AK84-AM84</f>
        <v>9062.24</v>
      </c>
      <c r="AP84" s="232"/>
      <c r="AQ84" s="229"/>
      <c r="AR84" s="212">
        <v>2265.56</v>
      </c>
      <c r="AS84" s="212">
        <f t="shared" si="3"/>
        <v>0</v>
      </c>
      <c r="AT84" s="261">
        <f t="shared" si="4"/>
        <v>4</v>
      </c>
      <c r="AU84" s="262">
        <f t="shared" si="5"/>
        <v>9062.24</v>
      </c>
      <c r="AV84" s="267">
        <v>4</v>
      </c>
    </row>
    <row r="85" spans="1:48" s="62" customFormat="1" ht="26.25" customHeight="1">
      <c r="A85" s="59"/>
      <c r="B85" s="60"/>
      <c r="C85" s="60"/>
      <c r="D85" s="22">
        <v>69</v>
      </c>
      <c r="E85" s="79" t="s">
        <v>24</v>
      </c>
      <c r="F85" s="178" t="s">
        <v>58</v>
      </c>
      <c r="G85" s="222" t="s">
        <v>123</v>
      </c>
      <c r="H85" s="193" t="s">
        <v>91</v>
      </c>
      <c r="I85" s="193" t="s">
        <v>91</v>
      </c>
      <c r="J85" s="193"/>
      <c r="K85" s="193"/>
      <c r="L85" s="243"/>
      <c r="M85" s="242">
        <f t="shared" ref="M85:M90" si="16">J85*K85</f>
        <v>0</v>
      </c>
      <c r="N85" s="243">
        <f>L85*M85</f>
        <v>0</v>
      </c>
      <c r="O85" s="193"/>
      <c r="P85" s="243"/>
      <c r="Q85" s="193"/>
      <c r="R85" s="243"/>
      <c r="S85" s="193"/>
      <c r="T85" s="243"/>
      <c r="U85" s="203" t="s">
        <v>170</v>
      </c>
      <c r="V85" s="115">
        <v>834</v>
      </c>
      <c r="W85" s="114">
        <v>43222</v>
      </c>
      <c r="X85" s="193" t="s">
        <v>162</v>
      </c>
      <c r="Y85" s="200">
        <v>43242</v>
      </c>
      <c r="Z85" s="193"/>
      <c r="AA85" s="193"/>
      <c r="AB85" s="22">
        <v>0</v>
      </c>
      <c r="AC85" s="170">
        <v>0</v>
      </c>
      <c r="AD85" s="209">
        <v>2</v>
      </c>
      <c r="AE85" s="194">
        <v>4531.12</v>
      </c>
      <c r="AF85" s="209"/>
      <c r="AG85" s="194"/>
      <c r="AH85" s="209"/>
      <c r="AI85" s="194"/>
      <c r="AJ85" s="233">
        <f t="shared" si="6"/>
        <v>2</v>
      </c>
      <c r="AK85" s="170">
        <f t="shared" si="7"/>
        <v>4531.12</v>
      </c>
      <c r="AL85" s="272">
        <v>0</v>
      </c>
      <c r="AM85" s="212">
        <v>0</v>
      </c>
      <c r="AN85" s="269">
        <f t="shared" si="14"/>
        <v>2</v>
      </c>
      <c r="AO85" s="217">
        <f t="shared" si="15"/>
        <v>4531.12</v>
      </c>
      <c r="AP85" s="232"/>
      <c r="AQ85" s="229"/>
      <c r="AR85" s="212">
        <v>2265.56</v>
      </c>
      <c r="AS85" s="212">
        <f t="shared" ref="AS85:AS90" si="17">AQ85*AR85</f>
        <v>0</v>
      </c>
      <c r="AT85" s="261">
        <f t="shared" ref="AT85:AT90" si="18">AN85+AP85-AQ85</f>
        <v>2</v>
      </c>
      <c r="AU85" s="262">
        <f t="shared" ref="AU85:AU90" si="19">AT85*AR85</f>
        <v>4531.12</v>
      </c>
      <c r="AV85" s="267">
        <v>2</v>
      </c>
    </row>
    <row r="86" spans="1:48" s="62" customFormat="1" ht="26.25" customHeight="1">
      <c r="A86" s="59"/>
      <c r="B86" s="60"/>
      <c r="C86" s="60"/>
      <c r="D86" s="22">
        <v>70</v>
      </c>
      <c r="E86" s="79" t="s">
        <v>24</v>
      </c>
      <c r="F86" s="82" t="s">
        <v>61</v>
      </c>
      <c r="G86" s="222" t="s">
        <v>127</v>
      </c>
      <c r="H86" s="193" t="s">
        <v>91</v>
      </c>
      <c r="I86" s="193" t="s">
        <v>91</v>
      </c>
      <c r="J86" s="193">
        <v>48</v>
      </c>
      <c r="K86" s="193">
        <v>3</v>
      </c>
      <c r="L86" s="243">
        <v>71.97</v>
      </c>
      <c r="M86" s="242">
        <f t="shared" si="16"/>
        <v>144</v>
      </c>
      <c r="N86" s="243">
        <f t="shared" ref="N86:N90" si="20">L86*M86</f>
        <v>10363.68</v>
      </c>
      <c r="O86" s="193">
        <v>14</v>
      </c>
      <c r="P86" s="243">
        <v>714.98</v>
      </c>
      <c r="Q86" s="193"/>
      <c r="R86" s="243"/>
      <c r="S86" s="193"/>
      <c r="T86" s="243"/>
      <c r="U86" s="203" t="s">
        <v>128</v>
      </c>
      <c r="V86" s="115">
        <v>135</v>
      </c>
      <c r="W86" s="114">
        <v>42761</v>
      </c>
      <c r="X86" s="193" t="s">
        <v>126</v>
      </c>
      <c r="Y86" s="200">
        <v>43130</v>
      </c>
      <c r="Z86" s="193"/>
      <c r="AA86" s="193"/>
      <c r="AB86" s="22">
        <v>0</v>
      </c>
      <c r="AC86" s="170">
        <v>0</v>
      </c>
      <c r="AD86" s="209">
        <v>14</v>
      </c>
      <c r="AE86" s="194">
        <v>774.48</v>
      </c>
      <c r="AF86" s="209"/>
      <c r="AG86" s="194"/>
      <c r="AH86" s="209"/>
      <c r="AI86" s="194"/>
      <c r="AJ86" s="233">
        <f t="shared" ref="AJ86:AJ90" si="21">AD86+AF86+AH86</f>
        <v>14</v>
      </c>
      <c r="AK86" s="170">
        <f t="shared" ref="AK86:AK90" si="22">AE86+AG86+AI86</f>
        <v>774.48</v>
      </c>
      <c r="AL86" s="272">
        <v>0</v>
      </c>
      <c r="AM86" s="212">
        <v>0</v>
      </c>
      <c r="AN86" s="269">
        <f t="shared" si="14"/>
        <v>14</v>
      </c>
      <c r="AO86" s="217">
        <f t="shared" si="15"/>
        <v>774.48</v>
      </c>
      <c r="AP86" s="232"/>
      <c r="AQ86" s="229"/>
      <c r="AR86" s="212">
        <v>55.32</v>
      </c>
      <c r="AS86" s="212">
        <f t="shared" si="17"/>
        <v>0</v>
      </c>
      <c r="AT86" s="261">
        <f t="shared" si="18"/>
        <v>14</v>
      </c>
      <c r="AU86" s="262">
        <f t="shared" si="19"/>
        <v>774.48</v>
      </c>
      <c r="AV86" s="267">
        <v>14</v>
      </c>
    </row>
    <row r="87" spans="1:48" s="62" customFormat="1" ht="26.25" customHeight="1">
      <c r="A87" s="59"/>
      <c r="B87" s="60"/>
      <c r="C87" s="60"/>
      <c r="D87" s="22">
        <v>71</v>
      </c>
      <c r="E87" s="79" t="s">
        <v>24</v>
      </c>
      <c r="F87" s="82" t="s">
        <v>61</v>
      </c>
      <c r="G87" s="222" t="s">
        <v>127</v>
      </c>
      <c r="H87" s="193" t="s">
        <v>91</v>
      </c>
      <c r="I87" s="193" t="s">
        <v>91</v>
      </c>
      <c r="J87" s="193"/>
      <c r="K87" s="193"/>
      <c r="L87" s="243"/>
      <c r="M87" s="242">
        <f t="shared" si="16"/>
        <v>0</v>
      </c>
      <c r="N87" s="243">
        <f t="shared" si="20"/>
        <v>0</v>
      </c>
      <c r="O87" s="193"/>
      <c r="P87" s="243"/>
      <c r="Q87" s="193"/>
      <c r="R87" s="243"/>
      <c r="S87" s="193"/>
      <c r="T87" s="243"/>
      <c r="U87" s="203" t="s">
        <v>171</v>
      </c>
      <c r="V87" s="115">
        <v>834</v>
      </c>
      <c r="W87" s="114">
        <v>43222</v>
      </c>
      <c r="X87" s="193" t="s">
        <v>162</v>
      </c>
      <c r="Y87" s="200">
        <v>43242</v>
      </c>
      <c r="Z87" s="193"/>
      <c r="AA87" s="193"/>
      <c r="AB87" s="22">
        <v>0</v>
      </c>
      <c r="AC87" s="170">
        <v>0</v>
      </c>
      <c r="AD87" s="209">
        <v>26</v>
      </c>
      <c r="AE87" s="194">
        <v>1438.32</v>
      </c>
      <c r="AF87" s="209"/>
      <c r="AG87" s="194"/>
      <c r="AH87" s="209"/>
      <c r="AI87" s="194"/>
      <c r="AJ87" s="233">
        <f t="shared" si="21"/>
        <v>26</v>
      </c>
      <c r="AK87" s="170">
        <f t="shared" si="22"/>
        <v>1438.32</v>
      </c>
      <c r="AL87" s="272">
        <v>0</v>
      </c>
      <c r="AM87" s="212">
        <v>0</v>
      </c>
      <c r="AN87" s="269">
        <f t="shared" si="14"/>
        <v>26</v>
      </c>
      <c r="AO87" s="217">
        <f t="shared" si="15"/>
        <v>1438.32</v>
      </c>
      <c r="AP87" s="232"/>
      <c r="AQ87" s="229"/>
      <c r="AR87" s="212">
        <v>55.32</v>
      </c>
      <c r="AS87" s="212">
        <f t="shared" si="17"/>
        <v>0</v>
      </c>
      <c r="AT87" s="261">
        <f t="shared" si="18"/>
        <v>26</v>
      </c>
      <c r="AU87" s="262">
        <f t="shared" si="19"/>
        <v>1438.32</v>
      </c>
      <c r="AV87" s="267">
        <v>26</v>
      </c>
    </row>
    <row r="88" spans="1:48" s="62" customFormat="1" ht="26.25" customHeight="1">
      <c r="A88" s="59"/>
      <c r="B88" s="60"/>
      <c r="C88" s="60"/>
      <c r="D88" s="22">
        <v>72</v>
      </c>
      <c r="E88" s="79" t="s">
        <v>24</v>
      </c>
      <c r="F88" s="179" t="s">
        <v>62</v>
      </c>
      <c r="G88" s="222" t="s">
        <v>129</v>
      </c>
      <c r="H88" s="193" t="s">
        <v>91</v>
      </c>
      <c r="I88" s="193" t="s">
        <v>91</v>
      </c>
      <c r="J88" s="193">
        <v>24</v>
      </c>
      <c r="K88" s="193">
        <v>4</v>
      </c>
      <c r="L88" s="243">
        <v>984.1</v>
      </c>
      <c r="M88" s="242">
        <f t="shared" si="16"/>
        <v>96</v>
      </c>
      <c r="N88" s="243">
        <f t="shared" si="20"/>
        <v>94473.600000000006</v>
      </c>
      <c r="O88" s="193">
        <v>6</v>
      </c>
      <c r="P88" s="243">
        <v>4721.3999999999996</v>
      </c>
      <c r="Q88" s="193"/>
      <c r="R88" s="243"/>
      <c r="S88" s="193"/>
      <c r="T88" s="243"/>
      <c r="U88" s="203" t="s">
        <v>130</v>
      </c>
      <c r="V88" s="115">
        <v>135</v>
      </c>
      <c r="W88" s="114">
        <v>42761</v>
      </c>
      <c r="X88" s="193" t="s">
        <v>126</v>
      </c>
      <c r="Y88" s="200">
        <v>43130</v>
      </c>
      <c r="Z88" s="193"/>
      <c r="AA88" s="193"/>
      <c r="AB88" s="22">
        <v>0</v>
      </c>
      <c r="AC88" s="170">
        <v>0</v>
      </c>
      <c r="AD88" s="209">
        <v>6</v>
      </c>
      <c r="AE88" s="194">
        <v>4549.08</v>
      </c>
      <c r="AF88" s="209"/>
      <c r="AG88" s="194"/>
      <c r="AH88" s="209"/>
      <c r="AI88" s="194"/>
      <c r="AJ88" s="233">
        <f t="shared" si="21"/>
        <v>6</v>
      </c>
      <c r="AK88" s="170">
        <f t="shared" si="22"/>
        <v>4549.08</v>
      </c>
      <c r="AL88" s="272">
        <v>0</v>
      </c>
      <c r="AM88" s="212">
        <v>0</v>
      </c>
      <c r="AN88" s="269">
        <f t="shared" si="14"/>
        <v>6</v>
      </c>
      <c r="AO88" s="217">
        <f t="shared" si="15"/>
        <v>4549.08</v>
      </c>
      <c r="AP88" s="232"/>
      <c r="AQ88" s="229"/>
      <c r="AR88" s="212">
        <v>758.18</v>
      </c>
      <c r="AS88" s="212">
        <f t="shared" si="17"/>
        <v>0</v>
      </c>
      <c r="AT88" s="261">
        <f t="shared" si="18"/>
        <v>6</v>
      </c>
      <c r="AU88" s="262">
        <f t="shared" si="19"/>
        <v>4549.08</v>
      </c>
      <c r="AV88" s="267">
        <v>6</v>
      </c>
    </row>
    <row r="89" spans="1:48" s="62" customFormat="1" ht="26.25" customHeight="1">
      <c r="A89" s="59"/>
      <c r="B89" s="60"/>
      <c r="C89" s="60"/>
      <c r="D89" s="22">
        <v>73</v>
      </c>
      <c r="E89" s="79" t="s">
        <v>24</v>
      </c>
      <c r="F89" s="179" t="s">
        <v>62</v>
      </c>
      <c r="G89" s="222" t="s">
        <v>129</v>
      </c>
      <c r="H89" s="193" t="s">
        <v>91</v>
      </c>
      <c r="I89" s="193" t="s">
        <v>91</v>
      </c>
      <c r="J89" s="193"/>
      <c r="K89" s="193"/>
      <c r="L89" s="243"/>
      <c r="M89" s="242">
        <f t="shared" si="16"/>
        <v>0</v>
      </c>
      <c r="N89" s="243">
        <f t="shared" si="20"/>
        <v>0</v>
      </c>
      <c r="O89" s="193"/>
      <c r="P89" s="243"/>
      <c r="Q89" s="193"/>
      <c r="R89" s="243"/>
      <c r="S89" s="193"/>
      <c r="T89" s="243"/>
      <c r="U89" s="203" t="s">
        <v>172</v>
      </c>
      <c r="V89" s="115">
        <v>834</v>
      </c>
      <c r="W89" s="114">
        <v>43222</v>
      </c>
      <c r="X89" s="193" t="s">
        <v>162</v>
      </c>
      <c r="Y89" s="200">
        <v>43242</v>
      </c>
      <c r="Z89" s="193"/>
      <c r="AA89" s="193"/>
      <c r="AB89" s="22">
        <v>0</v>
      </c>
      <c r="AC89" s="170">
        <v>0</v>
      </c>
      <c r="AD89" s="209">
        <v>10</v>
      </c>
      <c r="AE89" s="194">
        <v>7581.8</v>
      </c>
      <c r="AF89" s="209"/>
      <c r="AG89" s="194"/>
      <c r="AH89" s="209"/>
      <c r="AI89" s="194"/>
      <c r="AJ89" s="233">
        <f t="shared" si="21"/>
        <v>10</v>
      </c>
      <c r="AK89" s="170">
        <f t="shared" si="22"/>
        <v>7581.8</v>
      </c>
      <c r="AL89" s="272">
        <v>0</v>
      </c>
      <c r="AM89" s="212">
        <v>0</v>
      </c>
      <c r="AN89" s="269">
        <f t="shared" si="14"/>
        <v>10</v>
      </c>
      <c r="AO89" s="217">
        <f t="shared" si="15"/>
        <v>7581.8</v>
      </c>
      <c r="AP89" s="232"/>
      <c r="AQ89" s="229"/>
      <c r="AR89" s="212">
        <v>758.18</v>
      </c>
      <c r="AS89" s="212">
        <f t="shared" si="17"/>
        <v>0</v>
      </c>
      <c r="AT89" s="261">
        <f t="shared" si="18"/>
        <v>10</v>
      </c>
      <c r="AU89" s="262">
        <f t="shared" si="19"/>
        <v>7581.7999999999993</v>
      </c>
      <c r="AV89" s="267">
        <v>10</v>
      </c>
    </row>
    <row r="90" spans="1:48" s="62" customFormat="1" ht="26.25" customHeight="1">
      <c r="A90" s="59"/>
      <c r="B90" s="60"/>
      <c r="C90" s="60"/>
      <c r="D90" s="22">
        <v>74</v>
      </c>
      <c r="E90" s="79" t="s">
        <v>24</v>
      </c>
      <c r="F90" s="191" t="s">
        <v>66</v>
      </c>
      <c r="G90" s="222" t="s">
        <v>135</v>
      </c>
      <c r="H90" s="193" t="s">
        <v>91</v>
      </c>
      <c r="I90" s="193" t="s">
        <v>91</v>
      </c>
      <c r="J90" s="193">
        <v>4</v>
      </c>
      <c r="K90" s="193">
        <v>4</v>
      </c>
      <c r="L90" s="243">
        <v>2051.94</v>
      </c>
      <c r="M90" s="242">
        <f t="shared" si="16"/>
        <v>16</v>
      </c>
      <c r="N90" s="243">
        <f t="shared" si="20"/>
        <v>32831.040000000001</v>
      </c>
      <c r="O90" s="193">
        <v>4</v>
      </c>
      <c r="P90" s="243">
        <v>4104.6400000000003</v>
      </c>
      <c r="Q90" s="193"/>
      <c r="R90" s="243"/>
      <c r="S90" s="193"/>
      <c r="T90" s="243"/>
      <c r="U90" s="203">
        <v>1633600163</v>
      </c>
      <c r="V90" s="115">
        <v>260</v>
      </c>
      <c r="W90" s="114">
        <v>43145</v>
      </c>
      <c r="X90" s="193" t="s">
        <v>94</v>
      </c>
      <c r="Y90" s="200">
        <v>43164</v>
      </c>
      <c r="Z90" s="193"/>
      <c r="AA90" s="193"/>
      <c r="AB90" s="22">
        <v>0</v>
      </c>
      <c r="AC90" s="170">
        <v>0</v>
      </c>
      <c r="AD90" s="209">
        <v>2</v>
      </c>
      <c r="AE90" s="194">
        <f>2020.4+2020.4</f>
        <v>4040.8</v>
      </c>
      <c r="AF90" s="209"/>
      <c r="AG90" s="194"/>
      <c r="AH90" s="209"/>
      <c r="AI90" s="194"/>
      <c r="AJ90" s="233">
        <f t="shared" si="21"/>
        <v>2</v>
      </c>
      <c r="AK90" s="170">
        <f t="shared" si="22"/>
        <v>4040.8</v>
      </c>
      <c r="AL90" s="272">
        <v>0</v>
      </c>
      <c r="AM90" s="212">
        <v>0</v>
      </c>
      <c r="AN90" s="269">
        <f t="shared" si="14"/>
        <v>2</v>
      </c>
      <c r="AO90" s="217">
        <f t="shared" si="15"/>
        <v>4040.8</v>
      </c>
      <c r="AP90" s="232"/>
      <c r="AQ90" s="229"/>
      <c r="AR90" s="212">
        <v>2020.4</v>
      </c>
      <c r="AS90" s="212">
        <f t="shared" si="17"/>
        <v>0</v>
      </c>
      <c r="AT90" s="261">
        <f t="shared" si="18"/>
        <v>2</v>
      </c>
      <c r="AU90" s="262">
        <f t="shared" si="19"/>
        <v>4040.8</v>
      </c>
      <c r="AV90" s="267">
        <v>2</v>
      </c>
    </row>
    <row r="91" spans="1:48" s="251" customFormat="1" ht="21" customHeight="1">
      <c r="A91" s="20" t="s">
        <v>11</v>
      </c>
      <c r="B91" s="20"/>
      <c r="C91" s="20"/>
      <c r="D91" s="695" t="s">
        <v>34</v>
      </c>
      <c r="E91" s="696"/>
      <c r="F91" s="697"/>
      <c r="G91" s="246"/>
      <c r="H91" s="246"/>
      <c r="I91" s="246"/>
      <c r="J91" s="246"/>
      <c r="K91" s="247">
        <f>SUM(K17:K90)</f>
        <v>34</v>
      </c>
      <c r="L91" s="248"/>
      <c r="M91" s="246"/>
      <c r="N91" s="249">
        <f>SUM(N17:N90)</f>
        <v>3452363.2</v>
      </c>
      <c r="O91" s="248"/>
      <c r="P91" s="249">
        <f t="shared" ref="P91:T91" si="23">SUM(P17:P90)</f>
        <v>1903757.27</v>
      </c>
      <c r="Q91" s="248"/>
      <c r="R91" s="249">
        <f t="shared" si="23"/>
        <v>1395649.94</v>
      </c>
      <c r="S91" s="248"/>
      <c r="T91" s="249">
        <f t="shared" si="23"/>
        <v>1083638.72</v>
      </c>
      <c r="U91" s="291" t="s">
        <v>156</v>
      </c>
      <c r="V91" s="291" t="s">
        <v>156</v>
      </c>
      <c r="W91" s="291" t="s">
        <v>156</v>
      </c>
      <c r="X91" s="250" t="s">
        <v>156</v>
      </c>
      <c r="Y91" s="250" t="s">
        <v>156</v>
      </c>
      <c r="Z91" s="250" t="s">
        <v>156</v>
      </c>
      <c r="AA91" s="250" t="s">
        <v>156</v>
      </c>
      <c r="AB91" s="176">
        <f>SUM(AB17:AB40)</f>
        <v>1342</v>
      </c>
      <c r="AC91" s="171">
        <f>SUM(AC17:AC75)</f>
        <v>493758.06</v>
      </c>
      <c r="AD91" s="210">
        <f>SUM(AD17:AD90)</f>
        <v>13168</v>
      </c>
      <c r="AE91" s="195">
        <f t="shared" ref="AE91:AI91" si="24">SUM(AE17:AE90)</f>
        <v>1524549.46</v>
      </c>
      <c r="AF91" s="210">
        <f t="shared" si="24"/>
        <v>0</v>
      </c>
      <c r="AG91" s="195">
        <f t="shared" si="24"/>
        <v>0</v>
      </c>
      <c r="AH91" s="210">
        <f t="shared" si="24"/>
        <v>0</v>
      </c>
      <c r="AI91" s="195">
        <f t="shared" si="24"/>
        <v>0</v>
      </c>
      <c r="AJ91" s="230">
        <f t="shared" ref="AJ91:AM91" si="25">SUM(AJ17:AJ90)</f>
        <v>13168</v>
      </c>
      <c r="AK91" s="175">
        <f>SUM(AK17:AK90)</f>
        <v>1524549.46</v>
      </c>
      <c r="AL91" s="213">
        <f t="shared" si="25"/>
        <v>2245</v>
      </c>
      <c r="AM91" s="214">
        <f t="shared" si="25"/>
        <v>504590.05000000005</v>
      </c>
      <c r="AN91" s="218">
        <f>SUM(AN17:AN90)</f>
        <v>12889</v>
      </c>
      <c r="AO91" s="219">
        <f>SUM(AO17:AO90)</f>
        <v>1559161.6599999997</v>
      </c>
      <c r="AP91" s="286">
        <f>SUM(AP17:AP90)</f>
        <v>161</v>
      </c>
      <c r="AQ91" s="287">
        <f>SUM(AQ17:AQ90)</f>
        <v>785</v>
      </c>
      <c r="AR91" s="226" t="s">
        <v>156</v>
      </c>
      <c r="AS91" s="226">
        <f>SUM(AS17:AS90)</f>
        <v>123865.86000000002</v>
      </c>
      <c r="AT91" s="227">
        <f>SUM(AT17:AT90)</f>
        <v>12265</v>
      </c>
      <c r="AU91" s="228">
        <f>SUM(AU17:AU90)</f>
        <v>1485872.38</v>
      </c>
      <c r="AV91" s="236">
        <f>SUM(AV17:AV90)</f>
        <v>12265</v>
      </c>
    </row>
    <row r="92" spans="1:48" s="336" customFormat="1" ht="21" customHeight="1">
      <c r="A92" s="20"/>
      <c r="B92" s="20"/>
      <c r="C92" s="20"/>
      <c r="D92" s="294"/>
      <c r="E92" s="294"/>
      <c r="F92" s="294"/>
      <c r="G92" s="330"/>
      <c r="H92" s="330"/>
      <c r="I92" s="330"/>
      <c r="J92" s="330"/>
      <c r="K92" s="331"/>
      <c r="L92" s="332"/>
      <c r="M92" s="330"/>
      <c r="N92" s="333"/>
      <c r="O92" s="332"/>
      <c r="P92" s="333"/>
      <c r="Q92" s="332"/>
      <c r="R92" s="333"/>
      <c r="S92" s="332"/>
      <c r="T92" s="333"/>
      <c r="U92" s="295"/>
      <c r="V92" s="295"/>
      <c r="W92" s="295"/>
      <c r="X92" s="295"/>
      <c r="Y92" s="295"/>
      <c r="Z92" s="295"/>
      <c r="AA92" s="295"/>
      <c r="AB92" s="296"/>
      <c r="AC92" s="297"/>
      <c r="AD92" s="296"/>
      <c r="AE92" s="297"/>
      <c r="AF92" s="296"/>
      <c r="AG92" s="297"/>
      <c r="AH92" s="296"/>
      <c r="AI92" s="297"/>
      <c r="AJ92" s="298"/>
      <c r="AK92" s="299"/>
      <c r="AL92" s="334"/>
      <c r="AM92" s="297"/>
      <c r="AN92" s="296"/>
      <c r="AO92" s="297"/>
      <c r="AP92" s="298"/>
      <c r="AQ92" s="335"/>
      <c r="AR92" s="333"/>
      <c r="AS92" s="333"/>
      <c r="AT92" s="331"/>
      <c r="AU92" s="333"/>
      <c r="AV92" s="331"/>
    </row>
    <row r="93" spans="1:48" s="336" customFormat="1" ht="21" customHeight="1">
      <c r="A93" s="20"/>
      <c r="B93" s="20"/>
      <c r="C93" s="20"/>
      <c r="D93" s="294"/>
      <c r="E93" s="294"/>
      <c r="F93" s="294"/>
      <c r="G93" s="330"/>
      <c r="H93" s="330"/>
      <c r="I93" s="330"/>
      <c r="J93" s="330"/>
      <c r="K93" s="331"/>
      <c r="L93" s="332"/>
      <c r="M93" s="330"/>
      <c r="N93" s="333"/>
      <c r="O93" s="332"/>
      <c r="P93" s="333"/>
      <c r="Q93" s="332"/>
      <c r="R93" s="333"/>
      <c r="S93" s="332"/>
      <c r="T93" s="333"/>
      <c r="U93" s="295"/>
      <c r="V93" s="295"/>
      <c r="W93" s="295"/>
      <c r="X93" s="295"/>
      <c r="Y93" s="295"/>
      <c r="Z93" s="295"/>
      <c r="AA93" s="295"/>
      <c r="AB93" s="296"/>
      <c r="AC93" s="297"/>
      <c r="AD93" s="296"/>
      <c r="AE93" s="297"/>
      <c r="AF93" s="296"/>
      <c r="AG93" s="297"/>
      <c r="AH93" s="296"/>
      <c r="AI93" s="297"/>
      <c r="AJ93" s="298"/>
      <c r="AK93" s="299"/>
      <c r="AL93" s="334"/>
      <c r="AM93" s="297"/>
      <c r="AN93" s="296"/>
      <c r="AO93" s="297"/>
      <c r="AP93" s="298"/>
      <c r="AQ93" s="335"/>
      <c r="AR93" s="333"/>
      <c r="AS93" s="333"/>
      <c r="AT93" s="331"/>
      <c r="AU93" s="333"/>
      <c r="AV93" s="331"/>
    </row>
    <row r="94" spans="1:48" s="292" customFormat="1" ht="20.25">
      <c r="A94" s="301"/>
      <c r="B94" s="301"/>
      <c r="C94" s="301"/>
      <c r="D94" s="302"/>
      <c r="E94" s="301"/>
      <c r="F94" s="303" t="s">
        <v>205</v>
      </c>
      <c r="G94" s="303"/>
      <c r="H94" s="303" t="s">
        <v>208</v>
      </c>
      <c r="I94" s="303"/>
      <c r="J94" s="304"/>
      <c r="K94" s="304"/>
      <c r="L94" s="304"/>
      <c r="M94" s="304"/>
      <c r="N94" s="304"/>
      <c r="O94" s="304"/>
      <c r="P94" s="304"/>
      <c r="Q94" s="304"/>
      <c r="R94" s="304"/>
      <c r="S94" s="304"/>
      <c r="T94" s="304"/>
      <c r="U94" s="303"/>
      <c r="V94" s="303"/>
      <c r="X94" s="303"/>
      <c r="Y94" s="303"/>
      <c r="Z94" s="303"/>
      <c r="AA94" s="303" t="s">
        <v>208</v>
      </c>
      <c r="AB94" s="303"/>
      <c r="AC94" s="303"/>
      <c r="AD94" s="303"/>
      <c r="AE94" s="303"/>
      <c r="AF94" s="303"/>
      <c r="AG94" s="303"/>
      <c r="AH94" s="303"/>
      <c r="AI94" s="303"/>
      <c r="AJ94" s="301"/>
      <c r="AK94" s="303"/>
      <c r="AL94" s="301"/>
      <c r="AM94" s="303"/>
      <c r="AN94" s="305"/>
      <c r="AO94" s="306"/>
      <c r="AP94" s="307"/>
      <c r="AQ94" s="302"/>
      <c r="AR94" s="308"/>
      <c r="AS94" s="308"/>
      <c r="AT94" s="302"/>
      <c r="AU94" s="302"/>
      <c r="AV94" s="302"/>
    </row>
    <row r="95" spans="1:48" s="292" customFormat="1" ht="20.25">
      <c r="A95" s="301"/>
      <c r="B95" s="301"/>
      <c r="C95" s="301"/>
      <c r="D95" s="302"/>
      <c r="E95" s="301"/>
      <c r="F95" s="303"/>
      <c r="G95" s="303"/>
      <c r="H95" s="303"/>
      <c r="I95" s="303"/>
      <c r="J95" s="304"/>
      <c r="K95" s="304"/>
      <c r="L95" s="304"/>
      <c r="M95" s="304"/>
      <c r="N95" s="304"/>
      <c r="O95" s="304"/>
      <c r="P95" s="304"/>
      <c r="Q95" s="304"/>
      <c r="R95" s="304"/>
      <c r="S95" s="304"/>
      <c r="T95" s="304"/>
      <c r="U95" s="303"/>
      <c r="V95" s="303"/>
      <c r="X95" s="303"/>
      <c r="Y95" s="303"/>
      <c r="Z95" s="303"/>
      <c r="AA95" s="303"/>
      <c r="AB95" s="303"/>
      <c r="AC95" s="303"/>
      <c r="AD95" s="303"/>
      <c r="AE95" s="303"/>
      <c r="AF95" s="303"/>
      <c r="AG95" s="303"/>
      <c r="AH95" s="303"/>
      <c r="AI95" s="303"/>
      <c r="AJ95" s="301"/>
      <c r="AK95" s="303"/>
      <c r="AL95" s="301"/>
      <c r="AM95" s="303"/>
      <c r="AN95" s="305"/>
      <c r="AO95" s="306"/>
      <c r="AP95" s="307"/>
      <c r="AQ95" s="302"/>
      <c r="AR95" s="308"/>
      <c r="AS95" s="308"/>
      <c r="AT95" s="302"/>
      <c r="AU95" s="302"/>
      <c r="AV95" s="302"/>
    </row>
    <row r="96" spans="1:48" s="292" customFormat="1" ht="20.25">
      <c r="A96" s="301"/>
      <c r="B96" s="301"/>
      <c r="C96" s="301"/>
      <c r="D96" s="302"/>
      <c r="E96" s="301"/>
      <c r="F96" s="303"/>
      <c r="G96" s="303"/>
      <c r="H96" s="303"/>
      <c r="I96" s="303"/>
      <c r="J96" s="304"/>
      <c r="K96" s="304"/>
      <c r="L96" s="304"/>
      <c r="M96" s="304"/>
      <c r="N96" s="304"/>
      <c r="O96" s="304"/>
      <c r="P96" s="304"/>
      <c r="Q96" s="304"/>
      <c r="R96" s="304"/>
      <c r="S96" s="304"/>
      <c r="T96" s="304"/>
      <c r="U96" s="303"/>
      <c r="V96" s="303"/>
      <c r="X96" s="303"/>
      <c r="Y96" s="303"/>
      <c r="Z96" s="303"/>
      <c r="AA96" s="303"/>
      <c r="AB96" s="303"/>
      <c r="AC96" s="303"/>
      <c r="AD96" s="303"/>
      <c r="AE96" s="303"/>
      <c r="AF96" s="303"/>
      <c r="AG96" s="303"/>
      <c r="AH96" s="303"/>
      <c r="AI96" s="303"/>
      <c r="AJ96" s="301"/>
      <c r="AK96" s="303"/>
      <c r="AL96" s="301"/>
      <c r="AM96" s="303"/>
      <c r="AN96" s="305"/>
      <c r="AO96" s="306"/>
      <c r="AP96" s="307"/>
      <c r="AQ96" s="302"/>
      <c r="AR96" s="308"/>
      <c r="AS96" s="308"/>
      <c r="AT96" s="302"/>
      <c r="AU96" s="302"/>
      <c r="AV96" s="302"/>
    </row>
    <row r="97" spans="1:48" s="292" customFormat="1" ht="15" customHeight="1">
      <c r="A97" s="309"/>
      <c r="B97" s="309"/>
      <c r="C97" s="309"/>
      <c r="D97" s="302"/>
      <c r="E97" s="309"/>
      <c r="F97" s="310"/>
      <c r="G97" s="310"/>
      <c r="H97" s="308"/>
      <c r="I97" s="308"/>
      <c r="J97" s="304"/>
      <c r="K97" s="304"/>
      <c r="L97" s="304"/>
      <c r="M97" s="304"/>
      <c r="N97" s="304"/>
      <c r="O97" s="304"/>
      <c r="P97" s="304"/>
      <c r="Q97" s="304"/>
      <c r="R97" s="304"/>
      <c r="S97" s="304"/>
      <c r="T97" s="304"/>
      <c r="U97" s="308"/>
      <c r="V97" s="311"/>
      <c r="AA97" s="311"/>
      <c r="AJ97" s="293"/>
      <c r="AK97" s="312"/>
      <c r="AL97" s="309"/>
      <c r="AM97" s="313"/>
      <c r="AN97" s="305"/>
      <c r="AO97" s="306"/>
      <c r="AP97" s="307"/>
      <c r="AQ97" s="302"/>
      <c r="AR97" s="308"/>
      <c r="AS97" s="308"/>
      <c r="AT97" s="302"/>
      <c r="AU97" s="302"/>
      <c r="AV97" s="302"/>
    </row>
    <row r="98" spans="1:48" s="292" customFormat="1" ht="18" customHeight="1">
      <c r="A98" s="314" t="s">
        <v>12</v>
      </c>
      <c r="B98" s="314"/>
      <c r="C98" s="314"/>
      <c r="D98" s="315"/>
      <c r="E98" s="314"/>
      <c r="F98" s="316" t="s">
        <v>206</v>
      </c>
      <c r="G98" s="316"/>
      <c r="H98" s="736" t="s">
        <v>209</v>
      </c>
      <c r="I98" s="736"/>
      <c r="J98" s="736"/>
      <c r="K98" s="317"/>
      <c r="L98" s="317"/>
      <c r="M98" s="317"/>
      <c r="N98" s="317"/>
      <c r="O98" s="317"/>
      <c r="P98" s="317"/>
      <c r="Q98" s="317"/>
      <c r="R98" s="317"/>
      <c r="S98" s="317"/>
      <c r="T98" s="317"/>
      <c r="U98" s="318"/>
      <c r="V98" s="319"/>
      <c r="X98" s="303"/>
      <c r="Y98" s="316"/>
      <c r="Z98" s="316"/>
      <c r="AA98" s="320" t="s">
        <v>209</v>
      </c>
      <c r="AB98" s="316"/>
      <c r="AC98" s="316"/>
      <c r="AD98" s="316"/>
      <c r="AE98" s="316"/>
      <c r="AF98" s="316"/>
      <c r="AG98" s="316"/>
      <c r="AH98" s="316"/>
      <c r="AI98" s="316"/>
      <c r="AJ98" s="314"/>
      <c r="AK98" s="316"/>
      <c r="AL98" s="314"/>
      <c r="AM98" s="316"/>
      <c r="AN98" s="314"/>
      <c r="AO98" s="321"/>
      <c r="AP98" s="307"/>
      <c r="AQ98" s="302"/>
      <c r="AR98" s="308"/>
      <c r="AS98" s="308"/>
      <c r="AT98" s="302"/>
      <c r="AU98" s="302"/>
      <c r="AV98" s="302"/>
    </row>
    <row r="99" spans="1:48" s="62" customFormat="1" ht="18.75">
      <c r="A99" s="11"/>
      <c r="B99" s="11"/>
      <c r="C99" s="11"/>
      <c r="D99" s="255"/>
      <c r="E99" s="11"/>
      <c r="F99" s="322"/>
      <c r="G99" s="322"/>
      <c r="H99" s="322"/>
      <c r="I99" s="322"/>
      <c r="J99" s="323"/>
      <c r="K99" s="323"/>
      <c r="L99" s="323"/>
      <c r="M99" s="323"/>
      <c r="N99" s="323"/>
      <c r="O99" s="323"/>
      <c r="P99" s="323"/>
      <c r="Q99" s="323"/>
      <c r="R99" s="323"/>
      <c r="S99" s="323"/>
      <c r="T99" s="323"/>
      <c r="U99" s="322"/>
      <c r="V99" s="322"/>
      <c r="W99" s="322"/>
      <c r="X99" s="322"/>
      <c r="Y99" s="322"/>
      <c r="Z99" s="322"/>
      <c r="AA99" s="322"/>
      <c r="AB99" s="322"/>
      <c r="AC99" s="322"/>
      <c r="AD99" s="322"/>
      <c r="AE99" s="322"/>
      <c r="AF99" s="322"/>
      <c r="AG99" s="322"/>
      <c r="AH99" s="322"/>
      <c r="AI99" s="322"/>
      <c r="AJ99" s="324"/>
      <c r="AK99" s="322"/>
      <c r="AL99" s="324"/>
      <c r="AM99" s="322"/>
      <c r="AN99" s="281"/>
      <c r="AO99" s="325"/>
      <c r="AP99" s="326"/>
      <c r="AQ99" s="290"/>
      <c r="AR99" s="255"/>
      <c r="AS99" s="255"/>
      <c r="AT99" s="290"/>
      <c r="AU99" s="290"/>
      <c r="AV99" s="290"/>
    </row>
    <row r="100" spans="1:48" s="103" customFormat="1" ht="57.75" customHeight="1">
      <c r="A100" s="11"/>
      <c r="B100" s="11"/>
      <c r="C100" s="11"/>
      <c r="D100" s="255"/>
      <c r="E100" s="720" t="s">
        <v>207</v>
      </c>
      <c r="F100" s="720"/>
      <c r="G100" s="327"/>
      <c r="H100" s="328"/>
      <c r="I100" s="328"/>
      <c r="J100" s="328"/>
      <c r="K100" s="328"/>
      <c r="L100" s="328"/>
      <c r="M100" s="328"/>
      <c r="N100" s="328"/>
      <c r="O100" s="328"/>
      <c r="P100" s="328"/>
      <c r="Q100" s="328"/>
      <c r="R100" s="328"/>
      <c r="S100" s="328"/>
      <c r="T100" s="328"/>
      <c r="U100" s="328"/>
      <c r="V100" s="329"/>
      <c r="W100" s="329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281"/>
      <c r="AK100" s="11"/>
      <c r="AL100" s="281"/>
      <c r="AM100" s="11"/>
      <c r="AN100" s="281"/>
      <c r="AP100" s="326"/>
      <c r="AQ100" s="290"/>
      <c r="AR100" s="255"/>
      <c r="AS100" s="255"/>
      <c r="AT100" s="290"/>
      <c r="AU100" s="290"/>
      <c r="AV100" s="290"/>
    </row>
  </sheetData>
  <mergeCells count="40">
    <mergeCell ref="D14:D16"/>
    <mergeCell ref="D91:F91"/>
    <mergeCell ref="H98:J98"/>
    <mergeCell ref="AQ14:AS15"/>
    <mergeCell ref="AT15:AU15"/>
    <mergeCell ref="AT14:AV14"/>
    <mergeCell ref="E100:F100"/>
    <mergeCell ref="AN13:AV13"/>
    <mergeCell ref="AB14:AC15"/>
    <mergeCell ref="AL14:AM15"/>
    <mergeCell ref="AN14:AO15"/>
    <mergeCell ref="V14:W15"/>
    <mergeCell ref="X14:Y15"/>
    <mergeCell ref="Z14:AA15"/>
    <mergeCell ref="AP14:AP15"/>
    <mergeCell ref="AF15:AG15"/>
    <mergeCell ref="AH15:AI15"/>
    <mergeCell ref="F14:F16"/>
    <mergeCell ref="E14:E16"/>
    <mergeCell ref="C11:AU11"/>
    <mergeCell ref="O14:T14"/>
    <mergeCell ref="O15:P15"/>
    <mergeCell ref="Q15:R15"/>
    <mergeCell ref="S15:T15"/>
    <mergeCell ref="G14:G15"/>
    <mergeCell ref="H14:H15"/>
    <mergeCell ref="I14:I15"/>
    <mergeCell ref="J14:J15"/>
    <mergeCell ref="K14:K15"/>
    <mergeCell ref="L14:L15"/>
    <mergeCell ref="AJ14:AK15"/>
    <mergeCell ref="M14:N15"/>
    <mergeCell ref="AD14:AI14"/>
    <mergeCell ref="AD15:AE15"/>
    <mergeCell ref="U14:U16"/>
    <mergeCell ref="E6:AT6"/>
    <mergeCell ref="E7:AT7"/>
    <mergeCell ref="C8:AU8"/>
    <mergeCell ref="C9:AU9"/>
    <mergeCell ref="C10:AU10"/>
  </mergeCells>
  <pageMargins left="0.31496062992125984" right="0.31496062992125984" top="0.11811023622047245" bottom="0.19685039370078741" header="0.19685039370078741" footer="0.19685039370078741"/>
  <pageSetup paperSize="9" scale="16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58</vt:i4>
      </vt:variant>
    </vt:vector>
  </HeadingPairs>
  <TitlesOfParts>
    <vt:vector size="116" baseType="lpstr">
      <vt:lpstr>грудень 2017</vt:lpstr>
      <vt:lpstr>січень 2018</vt:lpstr>
      <vt:lpstr>лютий</vt:lpstr>
      <vt:lpstr>березень</vt:lpstr>
      <vt:lpstr>квітень</vt:lpstr>
      <vt:lpstr>травень</vt:lpstr>
      <vt:lpstr>червень</vt:lpstr>
      <vt:lpstr>липень</vt:lpstr>
      <vt:lpstr>серпень базова</vt:lpstr>
      <vt:lpstr>вересень</vt:lpstr>
      <vt:lpstr>29.09-05.10</vt:lpstr>
      <vt:lpstr>06.10-12.10</vt:lpstr>
      <vt:lpstr>13.10-19.10</vt:lpstr>
      <vt:lpstr>20.10-26.10</vt:lpstr>
      <vt:lpstr>27.10-02.11</vt:lpstr>
      <vt:lpstr>03.11-09.11</vt:lpstr>
      <vt:lpstr>10.11-15.11</vt:lpstr>
      <vt:lpstr>16.11-23.11</vt:lpstr>
      <vt:lpstr>24.11-30.11</vt:lpstr>
      <vt:lpstr>01.12-07.12</vt:lpstr>
      <vt:lpstr>08.12-13.12</vt:lpstr>
      <vt:lpstr>14.12-20.12</vt:lpstr>
      <vt:lpstr>21.12-27.12</vt:lpstr>
      <vt:lpstr>28.12-18.01</vt:lpstr>
      <vt:lpstr>19.01-25.01</vt:lpstr>
      <vt:lpstr>26.01-01.02</vt:lpstr>
      <vt:lpstr>02.02-08.02</vt:lpstr>
      <vt:lpstr>09.02-15.02</vt:lpstr>
      <vt:lpstr>16.02-22.02</vt:lpstr>
      <vt:lpstr>23.02-01.03</vt:lpstr>
      <vt:lpstr>01.03-07.03</vt:lpstr>
      <vt:lpstr>08.03-15.03</vt:lpstr>
      <vt:lpstr>16.03-22.03</vt:lpstr>
      <vt:lpstr>22-29.03</vt:lpstr>
      <vt:lpstr>30.03-05.04</vt:lpstr>
      <vt:lpstr>06-12.04</vt:lpstr>
      <vt:lpstr>13-19.04</vt:lpstr>
      <vt:lpstr>20-27,04</vt:lpstr>
      <vt:lpstr>28.04-03.05</vt:lpstr>
      <vt:lpstr>04-10.05</vt:lpstr>
      <vt:lpstr>11-17.05</vt:lpstr>
      <vt:lpstr>18-24.05</vt:lpstr>
      <vt:lpstr>25-31.05</vt:lpstr>
      <vt:lpstr>01.06-07.06</vt:lpstr>
      <vt:lpstr>08-14.06</vt:lpstr>
      <vt:lpstr>15-31.06</vt:lpstr>
      <vt:lpstr>01.07-31.07</vt:lpstr>
      <vt:lpstr>01.08-09.08</vt:lpstr>
      <vt:lpstr>10.08-23.08</vt:lpstr>
      <vt:lpstr>24.08-06.09</vt:lpstr>
      <vt:lpstr>07.09-13.09</vt:lpstr>
      <vt:lpstr>14-30.09</vt:lpstr>
      <vt:lpstr>01.10-11.10</vt:lpstr>
      <vt:lpstr>12-18.10</vt:lpstr>
      <vt:lpstr>19-25.10</vt:lpstr>
      <vt:lpstr>01.11-15.11</vt:lpstr>
      <vt:lpstr>16-30.11</vt:lpstr>
      <vt:lpstr>01-06.12</vt:lpstr>
      <vt:lpstr>'01.03-07.03'!Область_печати</vt:lpstr>
      <vt:lpstr>'01.06-07.06'!Область_печати</vt:lpstr>
      <vt:lpstr>'01.07-31.07'!Область_печати</vt:lpstr>
      <vt:lpstr>'01.08-09.08'!Область_печати</vt:lpstr>
      <vt:lpstr>'01.10-11.10'!Область_печати</vt:lpstr>
      <vt:lpstr>'01.11-15.11'!Область_печати</vt:lpstr>
      <vt:lpstr>'01.12-07.12'!Область_печати</vt:lpstr>
      <vt:lpstr>'01-06.12'!Область_печати</vt:lpstr>
      <vt:lpstr>'02.02-08.02'!Область_печати</vt:lpstr>
      <vt:lpstr>'03.11-09.11'!Область_печати</vt:lpstr>
      <vt:lpstr>'04-10.05'!Область_печати</vt:lpstr>
      <vt:lpstr>'06.10-12.10'!Область_печати</vt:lpstr>
      <vt:lpstr>'06-12.04'!Область_печати</vt:lpstr>
      <vt:lpstr>'07.09-13.09'!Область_печати</vt:lpstr>
      <vt:lpstr>'08.03-15.03'!Область_печати</vt:lpstr>
      <vt:lpstr>'08.12-13.12'!Область_печати</vt:lpstr>
      <vt:lpstr>'08-14.06'!Область_печати</vt:lpstr>
      <vt:lpstr>'09.02-15.02'!Область_печати</vt:lpstr>
      <vt:lpstr>'10.08-23.08'!Область_печати</vt:lpstr>
      <vt:lpstr>'10.11-15.11'!Область_печати</vt:lpstr>
      <vt:lpstr>'11-17.05'!Область_печати</vt:lpstr>
      <vt:lpstr>'12-18.10'!Область_печати</vt:lpstr>
      <vt:lpstr>'13.10-19.10'!Область_печати</vt:lpstr>
      <vt:lpstr>'13-19.04'!Область_печати</vt:lpstr>
      <vt:lpstr>'14.12-20.12'!Область_печати</vt:lpstr>
      <vt:lpstr>'14-30.09'!Область_печати</vt:lpstr>
      <vt:lpstr>'15-31.06'!Область_печати</vt:lpstr>
      <vt:lpstr>'16.02-22.02'!Область_печати</vt:lpstr>
      <vt:lpstr>'16.03-22.03'!Область_печати</vt:lpstr>
      <vt:lpstr>'16.11-23.11'!Область_печати</vt:lpstr>
      <vt:lpstr>'16-30.11'!Область_печати</vt:lpstr>
      <vt:lpstr>'18-24.05'!Область_печати</vt:lpstr>
      <vt:lpstr>'19.01-25.01'!Область_печати</vt:lpstr>
      <vt:lpstr>'19-25.10'!Область_печати</vt:lpstr>
      <vt:lpstr>'20.10-26.10'!Область_печати</vt:lpstr>
      <vt:lpstr>'20-27,04'!Область_печати</vt:lpstr>
      <vt:lpstr>'21.12-27.12'!Область_печати</vt:lpstr>
      <vt:lpstr>'22-29.03'!Область_печати</vt:lpstr>
      <vt:lpstr>'23.02-01.03'!Область_печати</vt:lpstr>
      <vt:lpstr>'24.08-06.09'!Область_печати</vt:lpstr>
      <vt:lpstr>'24.11-30.11'!Область_печати</vt:lpstr>
      <vt:lpstr>'25-31.05'!Область_печати</vt:lpstr>
      <vt:lpstr>'26.01-01.02'!Область_печати</vt:lpstr>
      <vt:lpstr>'27.10-02.11'!Область_печати</vt:lpstr>
      <vt:lpstr>'28.04-03.05'!Область_печати</vt:lpstr>
      <vt:lpstr>'28.12-18.01'!Область_печати</vt:lpstr>
      <vt:lpstr>'29.09-05.10'!Область_печати</vt:lpstr>
      <vt:lpstr>'30.03-05.04'!Область_печати</vt:lpstr>
      <vt:lpstr>березень!Область_печати</vt:lpstr>
      <vt:lpstr>вересень!Область_печати</vt:lpstr>
      <vt:lpstr>'грудень 2017'!Область_печати</vt:lpstr>
      <vt:lpstr>квітень!Область_печати</vt:lpstr>
      <vt:lpstr>липень!Область_печати</vt:lpstr>
      <vt:lpstr>лютий!Область_печати</vt:lpstr>
      <vt:lpstr>'серпень базова'!Область_печати</vt:lpstr>
      <vt:lpstr>'січень 2018'!Область_печати</vt:lpstr>
      <vt:lpstr>травень!Область_печати</vt:lpstr>
      <vt:lpstr>червень!Область_печати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Оксана</cp:lastModifiedBy>
  <cp:lastPrinted>2018-09-27T11:53:02Z</cp:lastPrinted>
  <dcterms:created xsi:type="dcterms:W3CDTF">2015-05-15T10:51:20Z</dcterms:created>
  <dcterms:modified xsi:type="dcterms:W3CDTF">2019-12-06T08:07:00Z</dcterms:modified>
</cp:coreProperties>
</file>