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1070" activeTab="5"/>
  </bookViews>
  <sheets>
    <sheet name="січень20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</sheets>
  <definedNames>
    <definedName name="_xlnm.Print_Area" localSheetId="2">'березень'!$A$1:$BA$44</definedName>
    <definedName name="_xlnm.Print_Area" localSheetId="3">'квітень'!$A$1:$BA$46</definedName>
    <definedName name="_xlnm.Print_Area" localSheetId="1">'лютий'!$A$1:$BA$43</definedName>
    <definedName name="_xlnm.Print_Area" localSheetId="0">'січень20'!$A$1:$BA$39</definedName>
    <definedName name="_xlnm.Print_Area" localSheetId="4">'травень'!$A$1:$BA$46</definedName>
    <definedName name="_xlnm.Print_Area" localSheetId="5">'червень'!$A$1:$BB$46</definedName>
  </definedNames>
  <calcPr fullCalcOnLoad="1" refMode="R1C1"/>
</workbook>
</file>

<file path=xl/sharedStrings.xml><?xml version="1.0" encoding="utf-8"?>
<sst xmlns="http://schemas.openxmlformats.org/spreadsheetml/2006/main" count="1330" uniqueCount="139">
  <si>
    <t>Додаток 8</t>
  </si>
  <si>
    <t xml:space="preserve"> до наказу Міністерства охорони здоров"я України</t>
  </si>
  <si>
    <t>22.03.2013 №232</t>
  </si>
  <si>
    <t>(у редакції наказу МОЗ України від 31.03.2015 № 194)</t>
  </si>
  <si>
    <t>ІНФОРМАЦІЯ</t>
  </si>
  <si>
    <t>про забезпеченість лікарськими засобами та медичними виробами, закупленими за кошти державного бюджету</t>
  </si>
  <si>
    <t>в межах виконання бюджетної програми КПКВ 2301400 "Забезпечення медичних заходів окремих державних програм та комплексних заходів програмного характеру"</t>
  </si>
  <si>
    <t>Тернопільська область</t>
  </si>
  <si>
    <t>№з/п</t>
  </si>
  <si>
    <t>Поставщик</t>
  </si>
  <si>
    <t>Торгівельна назва</t>
  </si>
  <si>
    <t>Міжнародна непатентована назва лікарського засобу / Назва медичного виробу</t>
  </si>
  <si>
    <t>Форма випуску</t>
  </si>
  <si>
    <t>Одиниця виміру</t>
  </si>
  <si>
    <t>Кількість одиниць лікарського засобу / медичного виробу для лікування одного пацієнта</t>
  </si>
  <si>
    <t>Кількість пацієнтів</t>
  </si>
  <si>
    <t>Ціна лікарського засобу / медичного виробу за одиницю, гривень</t>
  </si>
  <si>
    <t>Квота</t>
  </si>
  <si>
    <t>Серія</t>
  </si>
  <si>
    <t>Терміни</t>
  </si>
  <si>
    <t>Наказ МОЗ</t>
  </si>
  <si>
    <t>№ та дата отриманого документа 
(видаткової накладної)</t>
  </si>
  <si>
    <t>Номер і дата наказу УОЗ облдержадміністрації</t>
  </si>
  <si>
    <t>Залишок 
на початок року</t>
  </si>
  <si>
    <t>Отримано
за місяць</t>
  </si>
  <si>
    <t>Використано
за місяць</t>
  </si>
  <si>
    <t>2017 рік</t>
  </si>
  <si>
    <t>Всього</t>
  </si>
  <si>
    <t xml:space="preserve">В тому числі по окремих 
лікувальних закладах області, кількість одиниць </t>
  </si>
  <si>
    <t>одиниць</t>
  </si>
  <si>
    <t>гривень</t>
  </si>
  <si>
    <t>№</t>
  </si>
  <si>
    <t>Дата</t>
  </si>
  <si>
    <t>К-сть</t>
  </si>
  <si>
    <t>Сума</t>
  </si>
  <si>
    <t>Ціна</t>
  </si>
  <si>
    <t>Кременецька районна комунальна лікарня</t>
  </si>
  <si>
    <t>ТМЛ №1</t>
  </si>
  <si>
    <t>Заліщицька ЦРЛ</t>
  </si>
  <si>
    <t>рибавірин, 200 мг</t>
  </si>
  <si>
    <t>-</t>
  </si>
  <si>
    <t>пегферон 180 мкг/1 мл</t>
  </si>
  <si>
    <t>пегінтерферон альфа 2-а, 180 мкг</t>
  </si>
  <si>
    <t>фл</t>
  </si>
  <si>
    <t>ДП "Укрвакцина"</t>
  </si>
  <si>
    <t>В2016</t>
  </si>
  <si>
    <t>ГЕП-100</t>
  </si>
  <si>
    <t>табл</t>
  </si>
  <si>
    <t>тенофовіру дизопроксилу фурамат</t>
  </si>
  <si>
    <t>тенофовір</t>
  </si>
  <si>
    <t>копегус 200 мг</t>
  </si>
  <si>
    <t>N0521B06</t>
  </si>
  <si>
    <t>ГЕП-60</t>
  </si>
  <si>
    <t>540-од</t>
  </si>
  <si>
    <t>N0520B03</t>
  </si>
  <si>
    <t>ГЕП-80</t>
  </si>
  <si>
    <t>558-од</t>
  </si>
  <si>
    <t>софозбовір 400</t>
  </si>
  <si>
    <t>диклатасвір 60</t>
  </si>
  <si>
    <t>харвоні</t>
  </si>
  <si>
    <t>софозбовір 400, ледіпасфір 60</t>
  </si>
  <si>
    <t>Разом</t>
  </si>
  <si>
    <t>Головний лікар</t>
  </si>
  <si>
    <t>В.Є.Бліхар</t>
  </si>
  <si>
    <t>Головний бухгалтер</t>
  </si>
  <si>
    <t>О.М.Маркевич</t>
  </si>
  <si>
    <t>Наркодиспансер</t>
  </si>
  <si>
    <t>Гусятин ЦРЛ</t>
  </si>
  <si>
    <t>майгеп 400мг</t>
  </si>
  <si>
    <t>софосбувір 400мг</t>
  </si>
  <si>
    <t>ГЕП-119</t>
  </si>
  <si>
    <t xml:space="preserve">Отримано з початку року </t>
  </si>
  <si>
    <t>МП</t>
  </si>
  <si>
    <t>ГЕП-189</t>
  </si>
  <si>
    <t>ГЕП-209</t>
  </si>
  <si>
    <t>ледвир 90мг/400мг №29</t>
  </si>
  <si>
    <t>ГЕП-151</t>
  </si>
  <si>
    <t>В.Є. Бліхар</t>
  </si>
  <si>
    <t>ГЕП-230</t>
  </si>
  <si>
    <t>640-од</t>
  </si>
  <si>
    <t>Генеральний директор</t>
  </si>
  <si>
    <t>КНП ТУЛ ТОР</t>
  </si>
  <si>
    <t>за напрямом Закупівля медикаментів для громадян, хворих на вірусні гепатити В і С</t>
  </si>
  <si>
    <t>майгеп all 400мг</t>
  </si>
  <si>
    <t>ГЕП-253</t>
  </si>
  <si>
    <t xml:space="preserve"> станом на 01 лютого 2020 року </t>
  </si>
  <si>
    <t>2018 рік</t>
  </si>
  <si>
    <t>2019рік</t>
  </si>
  <si>
    <t>по квоті 2018 рік</t>
  </si>
  <si>
    <t>по квоті 2019 рік</t>
  </si>
  <si>
    <t>по квоті 2020рік</t>
  </si>
  <si>
    <t>Отримано
за 2020 рік 
РАЗОМ</t>
  </si>
  <si>
    <t>Фактично використано 
за 2020 рік</t>
  </si>
  <si>
    <t>Залишок на 
01.01.2020р</t>
  </si>
  <si>
    <t>Залишок
 на 01.02.2020р</t>
  </si>
  <si>
    <t>ледвир 90мг/400мг №30</t>
  </si>
  <si>
    <t>ГЕП-39</t>
  </si>
  <si>
    <t xml:space="preserve"> станом на 01 березня 2020 року </t>
  </si>
  <si>
    <t>Залишок на 
01.02.2020р</t>
  </si>
  <si>
    <t>Залишок
 на 01.03.2020р</t>
  </si>
  <si>
    <t>Софосбувір/Ледіпасвір</t>
  </si>
  <si>
    <t>Софосбувір/Велпатасвір</t>
  </si>
  <si>
    <t>Виробник</t>
  </si>
  <si>
    <t>ТОВ "Люм'єр Фарма", Україна</t>
  </si>
  <si>
    <t>Майлан Лабораторіз Лімітед, Індія</t>
  </si>
  <si>
    <t>Лаурус Лабс Лімітед, Індія</t>
  </si>
  <si>
    <t>Патеон Інк, Канада</t>
  </si>
  <si>
    <t>ГЕП-73</t>
  </si>
  <si>
    <t>вільвіо, 12,5мг/75мг/50мг №56</t>
  </si>
  <si>
    <t>вірелакір, 250мг №56</t>
  </si>
  <si>
    <t>омбітасвір/парітапревір/ритонавір</t>
  </si>
  <si>
    <t>дасабувір</t>
  </si>
  <si>
    <t>Еббві Дойчленд ГмбХ і Ко.КГ, Німеччина</t>
  </si>
  <si>
    <t>ГЕП-98</t>
  </si>
  <si>
    <t>Залишок
 на 01.04.2020р</t>
  </si>
  <si>
    <t>Залишок на 
01.03.2020р</t>
  </si>
  <si>
    <t xml:space="preserve"> станом на 01 квітня 2020 року </t>
  </si>
  <si>
    <t>лівел</t>
  </si>
  <si>
    <t>капс</t>
  </si>
  <si>
    <t>Повна потреба на 2018 рік</t>
  </si>
  <si>
    <t>пегасіс 180 мкг/0,5мл по 0,5мл №1</t>
  </si>
  <si>
    <t>Ф.Хоффманн-Ля Рош Лтд, Швейцарія</t>
  </si>
  <si>
    <t>шприц</t>
  </si>
  <si>
    <t>В3062В05</t>
  </si>
  <si>
    <t>ГЕП-115</t>
  </si>
  <si>
    <t xml:space="preserve"> станом на 01 травня 2020 року </t>
  </si>
  <si>
    <t>Залишок
 на 01.05.2020р</t>
  </si>
  <si>
    <t>Залишок на 
01.04.2020р</t>
  </si>
  <si>
    <t>вільвіо, 12,5мг/75мг/50мг №57</t>
  </si>
  <si>
    <t>вірелакір, 250мг №57</t>
  </si>
  <si>
    <t>ГЕП-149</t>
  </si>
  <si>
    <t xml:space="preserve"> станом на 01 червня 2020 року </t>
  </si>
  <si>
    <t>Залишок
 на 01.06.2020р</t>
  </si>
  <si>
    <t>Залишок на 
01.05.2020р</t>
  </si>
  <si>
    <t>(головний лікар)</t>
  </si>
  <si>
    <t xml:space="preserve"> станом на 01 липня 2020 року </t>
  </si>
  <si>
    <t>Залишок на 
01.06.2020р</t>
  </si>
  <si>
    <t>Залишок
 на 01.07.2020р</t>
  </si>
  <si>
    <t>КНП Тернопільський міський лікувально-діагностичний центр" ТОР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</si>
</sst>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dd\.mm\.yy;@"/>
    <numFmt numFmtId="197" formatCode="0.0"/>
    <numFmt numFmtId="198" formatCode="0.000"/>
    <numFmt numFmtId="199" formatCode="[$-422]d\ mmmm\ yyyy&quot; р.&quot;"/>
    <numFmt numFmtId="200" formatCode="0.0000"/>
    <numFmt numFmtId="201" formatCode="mmm/yyyy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#,##0.00;[Red]#,##0.00"/>
  </numFmts>
  <fonts count="6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11.5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70">
    <xf numFmtId="0" fontId="0" fillId="0" borderId="0" xfId="0" applyAlignment="1">
      <alignment/>
    </xf>
    <xf numFmtId="0" fontId="21" fillId="24" borderId="0" xfId="0" applyFont="1" applyFill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3" fontId="23" fillId="24" borderId="11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center" vertical="center"/>
    </xf>
    <xf numFmtId="196" fontId="22" fillId="24" borderId="11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22" fillId="24" borderId="0" xfId="0" applyNumberFormat="1" applyFont="1" applyFill="1" applyAlignment="1">
      <alignment horizontal="left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 horizontal="center"/>
    </xf>
    <xf numFmtId="3" fontId="28" fillId="24" borderId="0" xfId="0" applyNumberFormat="1" applyFont="1" applyFill="1" applyAlignment="1">
      <alignment/>
    </xf>
    <xf numFmtId="3" fontId="28" fillId="24" borderId="0" xfId="0" applyNumberFormat="1" applyFont="1" applyFill="1" applyAlignment="1">
      <alignment horizontal="center" vertical="center"/>
    </xf>
    <xf numFmtId="4" fontId="19" fillId="24" borderId="0" xfId="0" applyNumberFormat="1" applyFont="1" applyFill="1" applyAlignment="1">
      <alignment horizontal="center" vertical="center"/>
    </xf>
    <xf numFmtId="0" fontId="23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2" fillId="24" borderId="0" xfId="0" applyFont="1" applyFill="1" applyAlignment="1">
      <alignment/>
    </xf>
    <xf numFmtId="3" fontId="23" fillId="24" borderId="0" xfId="0" applyNumberFormat="1" applyFont="1" applyFill="1" applyAlignment="1">
      <alignment/>
    </xf>
    <xf numFmtId="0" fontId="23" fillId="24" borderId="0" xfId="0" applyFont="1" applyFill="1" applyAlignment="1">
      <alignment horizontal="center" vertical="center"/>
    </xf>
    <xf numFmtId="3" fontId="22" fillId="24" borderId="0" xfId="0" applyNumberFormat="1" applyFont="1" applyFill="1" applyAlignment="1">
      <alignment horizontal="center" vertical="center"/>
    </xf>
    <xf numFmtId="4" fontId="22" fillId="24" borderId="0" xfId="0" applyNumberFormat="1" applyFont="1" applyFill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26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center" vertical="center" wrapText="1"/>
    </xf>
    <xf numFmtId="3" fontId="22" fillId="25" borderId="11" xfId="0" applyNumberFormat="1" applyFont="1" applyFill="1" applyBorder="1" applyAlignment="1">
      <alignment horizontal="center" vertical="center" wrapText="1"/>
    </xf>
    <xf numFmtId="4" fontId="22" fillId="25" borderId="11" xfId="0" applyNumberFormat="1" applyFont="1" applyFill="1" applyBorder="1" applyAlignment="1">
      <alignment horizontal="right" vertical="center" wrapText="1"/>
    </xf>
    <xf numFmtId="3" fontId="22" fillId="25" borderId="11" xfId="0" applyNumberFormat="1" applyFont="1" applyFill="1" applyBorder="1" applyAlignment="1">
      <alignment horizontal="right" vertical="center" wrapText="1"/>
    </xf>
    <xf numFmtId="4" fontId="22" fillId="25" borderId="11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/>
    </xf>
    <xf numFmtId="0" fontId="21" fillId="25" borderId="0" xfId="0" applyFont="1" applyFill="1" applyAlignment="1">
      <alignment horizontal="center" vertical="center"/>
    </xf>
    <xf numFmtId="0" fontId="21" fillId="25" borderId="0" xfId="0" applyFont="1" applyFill="1" applyAlignment="1">
      <alignment horizontal="center"/>
    </xf>
    <xf numFmtId="0" fontId="25" fillId="25" borderId="0" xfId="0" applyFont="1" applyFill="1" applyAlignment="1">
      <alignment/>
    </xf>
    <xf numFmtId="0" fontId="25" fillId="25" borderId="0" xfId="0" applyFont="1" applyFill="1" applyAlignment="1">
      <alignment horizontal="center" vertical="center"/>
    </xf>
    <xf numFmtId="0" fontId="25" fillId="25" borderId="0" xfId="0" applyFont="1" applyFill="1" applyAlignment="1">
      <alignment horizontal="center"/>
    </xf>
    <xf numFmtId="0" fontId="28" fillId="25" borderId="0" xfId="0" applyFont="1" applyFill="1" applyAlignment="1">
      <alignment/>
    </xf>
    <xf numFmtId="0" fontId="28" fillId="25" borderId="0" xfId="0" applyFont="1" applyFill="1" applyAlignment="1">
      <alignment/>
    </xf>
    <xf numFmtId="0" fontId="28" fillId="25" borderId="0" xfId="0" applyFont="1" applyFill="1" applyAlignment="1">
      <alignment horizontal="center"/>
    </xf>
    <xf numFmtId="0" fontId="22" fillId="25" borderId="0" xfId="0" applyFont="1" applyFill="1" applyAlignment="1">
      <alignment/>
    </xf>
    <xf numFmtId="0" fontId="19" fillId="25" borderId="10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3" fontId="22" fillId="25" borderId="11" xfId="0" applyNumberFormat="1" applyFont="1" applyFill="1" applyBorder="1" applyAlignment="1">
      <alignment horizontal="center" vertical="center"/>
    </xf>
    <xf numFmtId="4" fontId="22" fillId="25" borderId="11" xfId="0" applyNumberFormat="1" applyFont="1" applyFill="1" applyBorder="1" applyAlignment="1">
      <alignment horizontal="center" vertical="center"/>
    </xf>
    <xf numFmtId="3" fontId="23" fillId="25" borderId="11" xfId="0" applyNumberFormat="1" applyFont="1" applyFill="1" applyBorder="1" applyAlignment="1">
      <alignment horizontal="center" vertical="center"/>
    </xf>
    <xf numFmtId="4" fontId="28" fillId="25" borderId="0" xfId="0" applyNumberFormat="1" applyFont="1" applyFill="1" applyAlignment="1">
      <alignment/>
    </xf>
    <xf numFmtId="0" fontId="23" fillId="25" borderId="10" xfId="0" applyFont="1" applyFill="1" applyBorder="1" applyAlignment="1">
      <alignment horizontal="center" vertical="center"/>
    </xf>
    <xf numFmtId="3" fontId="23" fillId="25" borderId="11" xfId="0" applyNumberFormat="1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vertical="center"/>
    </xf>
    <xf numFmtId="4" fontId="22" fillId="25" borderId="0" xfId="0" applyNumberFormat="1" applyFont="1" applyFill="1" applyAlignment="1">
      <alignment/>
    </xf>
    <xf numFmtId="0" fontId="23" fillId="25" borderId="0" xfId="0" applyFont="1" applyFill="1" applyAlignment="1">
      <alignment horizontal="center"/>
    </xf>
    <xf numFmtId="0" fontId="23" fillId="25" borderId="0" xfId="0" applyFont="1" applyFill="1" applyAlignment="1">
      <alignment horizontal="center" vertical="center"/>
    </xf>
    <xf numFmtId="0" fontId="27" fillId="25" borderId="0" xfId="0" applyFont="1" applyFill="1" applyAlignment="1">
      <alignment horizontal="center"/>
    </xf>
    <xf numFmtId="3" fontId="27" fillId="25" borderId="0" xfId="0" applyNumberFormat="1" applyFont="1" applyFill="1" applyAlignment="1">
      <alignment horizontal="center" vertical="center"/>
    </xf>
    <xf numFmtId="0" fontId="22" fillId="26" borderId="11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vertical="center" wrapText="1"/>
    </xf>
    <xf numFmtId="0" fontId="26" fillId="26" borderId="11" xfId="0" applyFont="1" applyFill="1" applyBorder="1" applyAlignment="1">
      <alignment horizontal="left" vertical="center" wrapText="1"/>
    </xf>
    <xf numFmtId="0" fontId="24" fillId="26" borderId="11" xfId="0" applyFont="1" applyFill="1" applyBorder="1" applyAlignment="1">
      <alignment horizontal="center" vertical="center" wrapText="1"/>
    </xf>
    <xf numFmtId="3" fontId="22" fillId="26" borderId="11" xfId="0" applyNumberFormat="1" applyFont="1" applyFill="1" applyBorder="1" applyAlignment="1">
      <alignment horizontal="center" vertical="center" wrapText="1"/>
    </xf>
    <xf numFmtId="4" fontId="22" fillId="26" borderId="11" xfId="0" applyNumberFormat="1" applyFont="1" applyFill="1" applyBorder="1" applyAlignment="1">
      <alignment horizontal="center" vertical="center" wrapText="1"/>
    </xf>
    <xf numFmtId="14" fontId="22" fillId="26" borderId="11" xfId="0" applyNumberFormat="1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/>
    </xf>
    <xf numFmtId="196" fontId="22" fillId="26" borderId="11" xfId="0" applyNumberFormat="1" applyFont="1" applyFill="1" applyBorder="1" applyAlignment="1">
      <alignment horizontal="center" vertical="center"/>
    </xf>
    <xf numFmtId="14" fontId="22" fillId="26" borderId="11" xfId="0" applyNumberFormat="1" applyFont="1" applyFill="1" applyBorder="1" applyAlignment="1">
      <alignment horizontal="center" vertical="center"/>
    </xf>
    <xf numFmtId="4" fontId="22" fillId="26" borderId="11" xfId="0" applyNumberFormat="1" applyFont="1" applyFill="1" applyBorder="1" applyAlignment="1">
      <alignment horizontal="center" vertical="center"/>
    </xf>
    <xf numFmtId="3" fontId="22" fillId="26" borderId="11" xfId="0" applyNumberFormat="1" applyFont="1" applyFill="1" applyBorder="1" applyAlignment="1">
      <alignment horizontal="center" vertical="center"/>
    </xf>
    <xf numFmtId="3" fontId="23" fillId="26" borderId="11" xfId="0" applyNumberFormat="1" applyFont="1" applyFill="1" applyBorder="1" applyAlignment="1">
      <alignment horizontal="center" vertical="center"/>
    </xf>
    <xf numFmtId="3" fontId="23" fillId="26" borderId="11" xfId="0" applyNumberFormat="1" applyFont="1" applyFill="1" applyBorder="1" applyAlignment="1">
      <alignment horizontal="center"/>
    </xf>
    <xf numFmtId="4" fontId="22" fillId="26" borderId="0" xfId="0" applyNumberFormat="1" applyFont="1" applyFill="1" applyAlignment="1">
      <alignment horizontal="left"/>
    </xf>
    <xf numFmtId="4" fontId="22" fillId="27" borderId="0" xfId="0" applyNumberFormat="1" applyFont="1" applyFill="1" applyAlignment="1">
      <alignment horizontal="left"/>
    </xf>
    <xf numFmtId="0" fontId="22" fillId="28" borderId="11" xfId="0" applyFont="1" applyFill="1" applyBorder="1" applyAlignment="1">
      <alignment horizontal="center" vertical="center" wrapText="1"/>
    </xf>
    <xf numFmtId="0" fontId="22" fillId="28" borderId="11" xfId="0" applyFont="1" applyFill="1" applyBorder="1" applyAlignment="1">
      <alignment vertical="center" wrapText="1"/>
    </xf>
    <xf numFmtId="0" fontId="26" fillId="28" borderId="11" xfId="0" applyFont="1" applyFill="1" applyBorder="1" applyAlignment="1">
      <alignment horizontal="left" vertical="center" wrapText="1"/>
    </xf>
    <xf numFmtId="0" fontId="24" fillId="28" borderId="11" xfId="0" applyFont="1" applyFill="1" applyBorder="1" applyAlignment="1">
      <alignment horizontal="center" vertical="center" wrapText="1"/>
    </xf>
    <xf numFmtId="3" fontId="22" fillId="28" borderId="11" xfId="0" applyNumberFormat="1" applyFont="1" applyFill="1" applyBorder="1" applyAlignment="1">
      <alignment horizontal="center" vertical="center" wrapText="1"/>
    </xf>
    <xf numFmtId="4" fontId="22" fillId="28" borderId="11" xfId="0" applyNumberFormat="1" applyFont="1" applyFill="1" applyBorder="1" applyAlignment="1">
      <alignment horizontal="right" vertical="center" wrapText="1"/>
    </xf>
    <xf numFmtId="3" fontId="22" fillId="28" borderId="11" xfId="0" applyNumberFormat="1" applyFont="1" applyFill="1" applyBorder="1" applyAlignment="1">
      <alignment horizontal="right" vertical="center" wrapText="1"/>
    </xf>
    <xf numFmtId="4" fontId="22" fillId="28" borderId="11" xfId="0" applyNumberFormat="1" applyFont="1" applyFill="1" applyBorder="1" applyAlignment="1">
      <alignment horizontal="center" vertical="center" wrapText="1"/>
    </xf>
    <xf numFmtId="14" fontId="22" fillId="28" borderId="11" xfId="0" applyNumberFormat="1" applyFont="1" applyFill="1" applyBorder="1" applyAlignment="1">
      <alignment horizontal="center" vertical="center" wrapText="1"/>
    </xf>
    <xf numFmtId="0" fontId="22" fillId="28" borderId="11" xfId="0" applyFont="1" applyFill="1" applyBorder="1" applyAlignment="1">
      <alignment horizontal="center" vertical="center"/>
    </xf>
    <xf numFmtId="196" fontId="22" fillId="28" borderId="11" xfId="0" applyNumberFormat="1" applyFont="1" applyFill="1" applyBorder="1" applyAlignment="1">
      <alignment horizontal="center" vertical="center"/>
    </xf>
    <xf numFmtId="14" fontId="22" fillId="28" borderId="11" xfId="0" applyNumberFormat="1" applyFont="1" applyFill="1" applyBorder="1" applyAlignment="1">
      <alignment horizontal="center" vertical="center"/>
    </xf>
    <xf numFmtId="3" fontId="23" fillId="28" borderId="11" xfId="0" applyNumberFormat="1" applyFont="1" applyFill="1" applyBorder="1" applyAlignment="1">
      <alignment horizontal="center" vertical="center"/>
    </xf>
    <xf numFmtId="4" fontId="22" fillId="28" borderId="11" xfId="0" applyNumberFormat="1" applyFont="1" applyFill="1" applyBorder="1" applyAlignment="1">
      <alignment horizontal="center" vertical="center"/>
    </xf>
    <xf numFmtId="3" fontId="22" fillId="28" borderId="11" xfId="0" applyNumberFormat="1" applyFont="1" applyFill="1" applyBorder="1" applyAlignment="1">
      <alignment horizontal="center" vertical="center"/>
    </xf>
    <xf numFmtId="3" fontId="23" fillId="28" borderId="11" xfId="0" applyNumberFormat="1" applyFont="1" applyFill="1" applyBorder="1" applyAlignment="1">
      <alignment horizontal="center"/>
    </xf>
    <xf numFmtId="4" fontId="22" fillId="28" borderId="0" xfId="0" applyNumberFormat="1" applyFont="1" applyFill="1" applyAlignment="1">
      <alignment horizontal="left"/>
    </xf>
    <xf numFmtId="4" fontId="22" fillId="29" borderId="0" xfId="0" applyNumberFormat="1" applyFont="1" applyFill="1" applyAlignment="1">
      <alignment horizontal="left"/>
    </xf>
    <xf numFmtId="0" fontId="22" fillId="30" borderId="11" xfId="0" applyFont="1" applyFill="1" applyBorder="1" applyAlignment="1">
      <alignment horizontal="center" vertical="center" wrapText="1"/>
    </xf>
    <xf numFmtId="0" fontId="24" fillId="30" borderId="11" xfId="0" applyFont="1" applyFill="1" applyBorder="1" applyAlignment="1">
      <alignment horizontal="center" vertical="center" wrapText="1"/>
    </xf>
    <xf numFmtId="3" fontId="22" fillId="30" borderId="11" xfId="0" applyNumberFormat="1" applyFont="1" applyFill="1" applyBorder="1" applyAlignment="1">
      <alignment horizontal="center" vertical="center" wrapText="1"/>
    </xf>
    <xf numFmtId="4" fontId="22" fillId="30" borderId="11" xfId="0" applyNumberFormat="1" applyFont="1" applyFill="1" applyBorder="1" applyAlignment="1">
      <alignment horizontal="right" vertical="center" wrapText="1"/>
    </xf>
    <xf numFmtId="3" fontId="22" fillId="30" borderId="11" xfId="0" applyNumberFormat="1" applyFont="1" applyFill="1" applyBorder="1" applyAlignment="1">
      <alignment horizontal="right" vertical="center" wrapText="1"/>
    </xf>
    <xf numFmtId="4" fontId="22" fillId="30" borderId="11" xfId="0" applyNumberFormat="1" applyFont="1" applyFill="1" applyBorder="1" applyAlignment="1">
      <alignment horizontal="center" vertical="center" wrapText="1"/>
    </xf>
    <xf numFmtId="14" fontId="22" fillId="30" borderId="11" xfId="0" applyNumberFormat="1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/>
    </xf>
    <xf numFmtId="196" fontId="22" fillId="30" borderId="11" xfId="0" applyNumberFormat="1" applyFont="1" applyFill="1" applyBorder="1" applyAlignment="1">
      <alignment horizontal="center" vertical="center"/>
    </xf>
    <xf numFmtId="14" fontId="22" fillId="30" borderId="11" xfId="0" applyNumberFormat="1" applyFont="1" applyFill="1" applyBorder="1" applyAlignment="1">
      <alignment horizontal="center" vertical="center"/>
    </xf>
    <xf numFmtId="3" fontId="23" fillId="30" borderId="11" xfId="0" applyNumberFormat="1" applyFont="1" applyFill="1" applyBorder="1" applyAlignment="1">
      <alignment horizontal="center" vertical="center"/>
    </xf>
    <xf numFmtId="4" fontId="22" fillId="30" borderId="11" xfId="0" applyNumberFormat="1" applyFont="1" applyFill="1" applyBorder="1" applyAlignment="1">
      <alignment horizontal="center" vertical="center"/>
    </xf>
    <xf numFmtId="3" fontId="22" fillId="30" borderId="11" xfId="0" applyNumberFormat="1" applyFont="1" applyFill="1" applyBorder="1" applyAlignment="1">
      <alignment horizontal="center" vertical="center"/>
    </xf>
    <xf numFmtId="3" fontId="23" fillId="30" borderId="11" xfId="0" applyNumberFormat="1" applyFont="1" applyFill="1" applyBorder="1" applyAlignment="1">
      <alignment horizontal="center"/>
    </xf>
    <xf numFmtId="0" fontId="22" fillId="31" borderId="11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vertical="center" wrapText="1"/>
    </xf>
    <xf numFmtId="0" fontId="26" fillId="31" borderId="11" xfId="0" applyFont="1" applyFill="1" applyBorder="1" applyAlignment="1">
      <alignment horizontal="left" vertical="center" wrapText="1"/>
    </xf>
    <xf numFmtId="0" fontId="24" fillId="31" borderId="11" xfId="0" applyFont="1" applyFill="1" applyBorder="1" applyAlignment="1">
      <alignment horizontal="center" vertical="center" wrapText="1"/>
    </xf>
    <xf numFmtId="3" fontId="22" fillId="31" borderId="11" xfId="0" applyNumberFormat="1" applyFont="1" applyFill="1" applyBorder="1" applyAlignment="1">
      <alignment horizontal="center" vertical="center" wrapText="1"/>
    </xf>
    <xf numFmtId="4" fontId="22" fillId="31" borderId="11" xfId="0" applyNumberFormat="1" applyFont="1" applyFill="1" applyBorder="1" applyAlignment="1">
      <alignment horizontal="center" vertical="center" wrapText="1"/>
    </xf>
    <xf numFmtId="14" fontId="22" fillId="31" borderId="11" xfId="0" applyNumberFormat="1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/>
    </xf>
    <xf numFmtId="196" fontId="22" fillId="31" borderId="11" xfId="0" applyNumberFormat="1" applyFont="1" applyFill="1" applyBorder="1" applyAlignment="1">
      <alignment horizontal="center" vertical="center"/>
    </xf>
    <xf numFmtId="14" fontId="22" fillId="31" borderId="11" xfId="0" applyNumberFormat="1" applyFont="1" applyFill="1" applyBorder="1" applyAlignment="1">
      <alignment horizontal="center" vertical="center"/>
    </xf>
    <xf numFmtId="3" fontId="23" fillId="31" borderId="11" xfId="0" applyNumberFormat="1" applyFont="1" applyFill="1" applyBorder="1" applyAlignment="1">
      <alignment horizontal="center" vertical="center"/>
    </xf>
    <xf numFmtId="4" fontId="22" fillId="31" borderId="11" xfId="0" applyNumberFormat="1" applyFont="1" applyFill="1" applyBorder="1" applyAlignment="1">
      <alignment horizontal="center" vertical="center"/>
    </xf>
    <xf numFmtId="3" fontId="22" fillId="31" borderId="11" xfId="0" applyNumberFormat="1" applyFont="1" applyFill="1" applyBorder="1" applyAlignment="1">
      <alignment horizontal="center" vertical="center"/>
    </xf>
    <xf numFmtId="3" fontId="23" fillId="31" borderId="11" xfId="0" applyNumberFormat="1" applyFont="1" applyFill="1" applyBorder="1" applyAlignment="1">
      <alignment horizontal="center"/>
    </xf>
    <xf numFmtId="4" fontId="22" fillId="31" borderId="0" xfId="0" applyNumberFormat="1" applyFont="1" applyFill="1" applyAlignment="1">
      <alignment horizontal="left"/>
    </xf>
    <xf numFmtId="14" fontId="22" fillId="31" borderId="12" xfId="0" applyNumberFormat="1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0" fontId="22" fillId="32" borderId="13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14" fontId="22" fillId="32" borderId="13" xfId="0" applyNumberFormat="1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/>
    </xf>
    <xf numFmtId="14" fontId="24" fillId="32" borderId="10" xfId="0" applyNumberFormat="1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 wrapText="1"/>
    </xf>
    <xf numFmtId="3" fontId="23" fillId="32" borderId="11" xfId="0" applyNumberFormat="1" applyFont="1" applyFill="1" applyBorder="1" applyAlignment="1">
      <alignment horizontal="center" vertical="center"/>
    </xf>
    <xf numFmtId="4" fontId="22" fillId="32" borderId="11" xfId="0" applyNumberFormat="1" applyFont="1" applyFill="1" applyBorder="1" applyAlignment="1">
      <alignment horizontal="center" vertical="center"/>
    </xf>
    <xf numFmtId="3" fontId="22" fillId="32" borderId="11" xfId="0" applyNumberFormat="1" applyFont="1" applyFill="1" applyBorder="1" applyAlignment="1">
      <alignment horizontal="center" vertical="center"/>
    </xf>
    <xf numFmtId="0" fontId="21" fillId="32" borderId="0" xfId="0" applyFont="1" applyFill="1" applyAlignment="1">
      <alignment/>
    </xf>
    <xf numFmtId="0" fontId="22" fillId="32" borderId="13" xfId="0" applyFont="1" applyFill="1" applyBorder="1" applyAlignment="1">
      <alignment horizontal="left" vertical="center" wrapText="1"/>
    </xf>
    <xf numFmtId="3" fontId="27" fillId="25" borderId="0" xfId="0" applyNumberFormat="1" applyFont="1" applyFill="1" applyBorder="1" applyAlignment="1">
      <alignment/>
    </xf>
    <xf numFmtId="0" fontId="21" fillId="26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2" fontId="22" fillId="24" borderId="11" xfId="62" applyNumberFormat="1" applyFont="1" applyFill="1" applyBorder="1" applyAlignment="1">
      <alignment horizontal="center" vertical="center"/>
    </xf>
    <xf numFmtId="2" fontId="23" fillId="25" borderId="11" xfId="62" applyNumberFormat="1" applyFont="1" applyFill="1" applyBorder="1" applyAlignment="1">
      <alignment vertical="center" wrapText="1"/>
    </xf>
    <xf numFmtId="2" fontId="23" fillId="25" borderId="11" xfId="62" applyNumberFormat="1" applyFont="1" applyFill="1" applyBorder="1" applyAlignment="1">
      <alignment horizontal="right" vertical="center" wrapText="1"/>
    </xf>
    <xf numFmtId="2" fontId="23" fillId="25" borderId="11" xfId="62" applyNumberFormat="1" applyFont="1" applyFill="1" applyBorder="1" applyAlignment="1">
      <alignment horizontal="center" vertical="center" wrapText="1"/>
    </xf>
    <xf numFmtId="2" fontId="23" fillId="24" borderId="11" xfId="62" applyNumberFormat="1" applyFont="1" applyFill="1" applyBorder="1" applyAlignment="1">
      <alignment vertical="center" wrapText="1"/>
    </xf>
    <xf numFmtId="2" fontId="23" fillId="24" borderId="11" xfId="62" applyNumberFormat="1" applyFont="1" applyFill="1" applyBorder="1" applyAlignment="1">
      <alignment horizontal="center" vertical="center"/>
    </xf>
    <xf numFmtId="2" fontId="22" fillId="25" borderId="11" xfId="62" applyNumberFormat="1" applyFont="1" applyFill="1" applyBorder="1" applyAlignment="1">
      <alignment horizontal="center" vertical="center"/>
    </xf>
    <xf numFmtId="2" fontId="22" fillId="24" borderId="0" xfId="62" applyNumberFormat="1" applyFont="1" applyFill="1" applyAlignment="1">
      <alignment horizontal="left"/>
    </xf>
    <xf numFmtId="2" fontId="22" fillId="27" borderId="0" xfId="62" applyNumberFormat="1" applyFont="1" applyFill="1" applyAlignment="1">
      <alignment horizontal="left"/>
    </xf>
    <xf numFmtId="49" fontId="30" fillId="24" borderId="11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50" fillId="24" borderId="0" xfId="0" applyFont="1" applyFill="1" applyAlignment="1">
      <alignment/>
    </xf>
    <xf numFmtId="0" fontId="50" fillId="24" borderId="0" xfId="0" applyFont="1" applyFill="1" applyAlignment="1">
      <alignment horizontal="center" vertical="center"/>
    </xf>
    <xf numFmtId="0" fontId="50" fillId="24" borderId="0" xfId="0" applyFont="1" applyFill="1" applyBorder="1" applyAlignment="1">
      <alignment/>
    </xf>
    <xf numFmtId="0" fontId="51" fillId="24" borderId="0" xfId="0" applyFont="1" applyFill="1" applyAlignment="1">
      <alignment/>
    </xf>
    <xf numFmtId="0" fontId="52" fillId="24" borderId="0" xfId="0" applyFont="1" applyFill="1" applyBorder="1" applyAlignment="1">
      <alignment horizontal="center"/>
    </xf>
    <xf numFmtId="0" fontId="52" fillId="24" borderId="0" xfId="0" applyFont="1" applyFill="1" applyBorder="1" applyAlignment="1">
      <alignment horizontal="center" vertical="center"/>
    </xf>
    <xf numFmtId="0" fontId="51" fillId="24" borderId="0" xfId="0" applyFont="1" applyFill="1" applyBorder="1" applyAlignment="1">
      <alignment horizontal="center" vertical="center"/>
    </xf>
    <xf numFmtId="0" fontId="51" fillId="24" borderId="0" xfId="0" applyFont="1" applyFill="1" applyAlignment="1">
      <alignment horizontal="center" vertical="center"/>
    </xf>
    <xf numFmtId="2" fontId="53" fillId="24" borderId="0" xfId="62" applyNumberFormat="1" applyFont="1" applyFill="1" applyAlignment="1">
      <alignment/>
    </xf>
    <xf numFmtId="0" fontId="53" fillId="24" borderId="0" xfId="0" applyFont="1" applyFill="1" applyAlignment="1">
      <alignment/>
    </xf>
    <xf numFmtId="0" fontId="54" fillId="24" borderId="0" xfId="0" applyFont="1" applyFill="1" applyAlignment="1">
      <alignment horizontal="center" vertical="center"/>
    </xf>
    <xf numFmtId="0" fontId="55" fillId="24" borderId="0" xfId="0" applyFont="1" applyFill="1" applyAlignment="1">
      <alignment/>
    </xf>
    <xf numFmtId="0" fontId="55" fillId="24" borderId="0" xfId="0" applyFont="1" applyFill="1" applyAlignment="1">
      <alignment horizontal="center" vertical="center"/>
    </xf>
    <xf numFmtId="4" fontId="56" fillId="24" borderId="0" xfId="0" applyNumberFormat="1" applyFont="1" applyFill="1" applyAlignment="1">
      <alignment horizontal="center" vertical="center"/>
    </xf>
    <xf numFmtId="0" fontId="55" fillId="24" borderId="0" xfId="0" applyFont="1" applyFill="1" applyAlignment="1">
      <alignment/>
    </xf>
    <xf numFmtId="0" fontId="55" fillId="24" borderId="0" xfId="0" applyFont="1" applyFill="1" applyAlignment="1">
      <alignment wrapText="1"/>
    </xf>
    <xf numFmtId="2" fontId="23" fillId="24" borderId="11" xfId="0" applyNumberFormat="1" applyFont="1" applyFill="1" applyBorder="1" applyAlignment="1">
      <alignment horizontal="center" vertical="center"/>
    </xf>
    <xf numFmtId="1" fontId="23" fillId="25" borderId="10" xfId="62" applyNumberFormat="1" applyFont="1" applyFill="1" applyBorder="1" applyAlignment="1">
      <alignment horizontal="center" vertical="center"/>
    </xf>
    <xf numFmtId="2" fontId="22" fillId="32" borderId="11" xfId="0" applyNumberFormat="1" applyFont="1" applyFill="1" applyBorder="1" applyAlignment="1">
      <alignment horizontal="center" vertical="center"/>
    </xf>
    <xf numFmtId="1" fontId="23" fillId="32" borderId="11" xfId="62" applyNumberFormat="1" applyFont="1" applyFill="1" applyBorder="1" applyAlignment="1">
      <alignment horizontal="center" vertical="center"/>
    </xf>
    <xf numFmtId="2" fontId="22" fillId="26" borderId="11" xfId="0" applyNumberFormat="1" applyFont="1" applyFill="1" applyBorder="1" applyAlignment="1">
      <alignment horizontal="center" vertical="center"/>
    </xf>
    <xf numFmtId="1" fontId="23" fillId="26" borderId="11" xfId="62" applyNumberFormat="1" applyFont="1" applyFill="1" applyBorder="1" applyAlignment="1">
      <alignment horizontal="center" vertical="center"/>
    </xf>
    <xf numFmtId="2" fontId="22" fillId="28" borderId="11" xfId="0" applyNumberFormat="1" applyFont="1" applyFill="1" applyBorder="1" applyAlignment="1">
      <alignment horizontal="center" vertical="center"/>
    </xf>
    <xf numFmtId="1" fontId="23" fillId="28" borderId="11" xfId="62" applyNumberFormat="1" applyFont="1" applyFill="1" applyBorder="1" applyAlignment="1">
      <alignment horizontal="center" vertical="center"/>
    </xf>
    <xf numFmtId="1" fontId="23" fillId="30" borderId="11" xfId="62" applyNumberFormat="1" applyFont="1" applyFill="1" applyBorder="1" applyAlignment="1">
      <alignment horizontal="center" vertical="center"/>
    </xf>
    <xf numFmtId="1" fontId="23" fillId="31" borderId="11" xfId="62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1" fontId="23" fillId="25" borderId="11" xfId="62" applyNumberFormat="1" applyFont="1" applyFill="1" applyBorder="1" applyAlignment="1">
      <alignment horizontal="center" vertical="center"/>
    </xf>
    <xf numFmtId="2" fontId="21" fillId="24" borderId="0" xfId="0" applyNumberFormat="1" applyFont="1" applyFill="1" applyAlignment="1">
      <alignment/>
    </xf>
    <xf numFmtId="1" fontId="20" fillId="25" borderId="0" xfId="62" applyNumberFormat="1" applyFont="1" applyFill="1" applyAlignment="1">
      <alignment/>
    </xf>
    <xf numFmtId="2" fontId="22" fillId="24" borderId="0" xfId="0" applyNumberFormat="1" applyFont="1" applyFill="1" applyAlignment="1">
      <alignment/>
    </xf>
    <xf numFmtId="1" fontId="23" fillId="25" borderId="0" xfId="62" applyNumberFormat="1" applyFont="1" applyFill="1" applyAlignment="1">
      <alignment/>
    </xf>
    <xf numFmtId="2" fontId="28" fillId="24" borderId="0" xfId="0" applyNumberFormat="1" applyFont="1" applyFill="1" applyAlignment="1">
      <alignment/>
    </xf>
    <xf numFmtId="1" fontId="27" fillId="25" borderId="0" xfId="62" applyNumberFormat="1" applyFont="1" applyFill="1" applyAlignment="1">
      <alignment/>
    </xf>
    <xf numFmtId="0" fontId="23" fillId="25" borderId="11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4" fillId="24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25" borderId="0" xfId="0" applyFont="1" applyFill="1" applyAlignment="1">
      <alignment/>
    </xf>
    <xf numFmtId="0" fontId="22" fillId="33" borderId="0" xfId="0" applyFont="1" applyFill="1" applyAlignment="1">
      <alignment/>
    </xf>
    <xf numFmtId="0" fontId="24" fillId="25" borderId="0" xfId="0" applyFont="1" applyFill="1" applyAlignment="1">
      <alignment/>
    </xf>
    <xf numFmtId="0" fontId="19" fillId="33" borderId="0" xfId="0" applyFont="1" applyFill="1" applyAlignment="1">
      <alignment/>
    </xf>
    <xf numFmtId="2" fontId="24" fillId="33" borderId="0" xfId="0" applyNumberFormat="1" applyFont="1" applyFill="1" applyAlignment="1">
      <alignment/>
    </xf>
    <xf numFmtId="0" fontId="23" fillId="33" borderId="0" xfId="0" applyFont="1" applyFill="1" applyAlignment="1">
      <alignment horizontal="left"/>
    </xf>
    <xf numFmtId="1" fontId="19" fillId="25" borderId="0" xfId="62" applyNumberFormat="1" applyFont="1" applyFill="1" applyAlignment="1">
      <alignment/>
    </xf>
    <xf numFmtId="0" fontId="19" fillId="25" borderId="0" xfId="0" applyFont="1" applyFill="1" applyAlignment="1">
      <alignment/>
    </xf>
    <xf numFmtId="0" fontId="19" fillId="25" borderId="0" xfId="0" applyFont="1" applyFill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  <xf numFmtId="0" fontId="31" fillId="33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2" fontId="25" fillId="33" borderId="0" xfId="0" applyNumberFormat="1" applyFont="1" applyFill="1" applyAlignment="1">
      <alignment vertical="center"/>
    </xf>
    <xf numFmtId="1" fontId="25" fillId="25" borderId="0" xfId="62" applyNumberFormat="1" applyFont="1" applyFill="1" applyAlignment="1">
      <alignment vertical="center"/>
    </xf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vertical="center"/>
    </xf>
    <xf numFmtId="0" fontId="25" fillId="25" borderId="14" xfId="0" applyFont="1" applyFill="1" applyBorder="1" applyAlignment="1">
      <alignment vertical="center"/>
    </xf>
    <xf numFmtId="2" fontId="25" fillId="33" borderId="14" xfId="0" applyNumberFormat="1" applyFont="1" applyFill="1" applyBorder="1" applyAlignment="1">
      <alignment vertical="center"/>
    </xf>
    <xf numFmtId="1" fontId="25" fillId="25" borderId="14" xfId="62" applyNumberFormat="1" applyFont="1" applyFill="1" applyBorder="1" applyAlignment="1">
      <alignment vertical="center"/>
    </xf>
    <xf numFmtId="0" fontId="23" fillId="24" borderId="0" xfId="0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0" fontId="21" fillId="28" borderId="0" xfId="0" applyFont="1" applyFill="1" applyAlignment="1">
      <alignment/>
    </xf>
    <xf numFmtId="0" fontId="21" fillId="30" borderId="0" xfId="0" applyFont="1" applyFill="1" applyAlignment="1">
      <alignment/>
    </xf>
    <xf numFmtId="0" fontId="21" fillId="31" borderId="0" xfId="0" applyFont="1" applyFill="1" applyAlignment="1">
      <alignment/>
    </xf>
    <xf numFmtId="2" fontId="22" fillId="24" borderId="0" xfId="62" applyNumberFormat="1" applyFont="1" applyFill="1" applyAlignment="1">
      <alignment/>
    </xf>
    <xf numFmtId="0" fontId="27" fillId="25" borderId="0" xfId="0" applyFont="1" applyFill="1" applyAlignment="1">
      <alignment/>
    </xf>
    <xf numFmtId="0" fontId="27" fillId="25" borderId="0" xfId="0" applyFont="1" applyFill="1" applyBorder="1" applyAlignment="1">
      <alignment/>
    </xf>
    <xf numFmtId="0" fontId="27" fillId="25" borderId="0" xfId="0" applyFont="1" applyFill="1" applyAlignment="1">
      <alignment horizontal="center" vertical="center"/>
    </xf>
    <xf numFmtId="4" fontId="27" fillId="33" borderId="0" xfId="0" applyNumberFormat="1" applyFont="1" applyFill="1" applyAlignment="1">
      <alignment horizontal="center" vertical="center"/>
    </xf>
    <xf numFmtId="4" fontId="28" fillId="33" borderId="0" xfId="0" applyNumberFormat="1" applyFont="1" applyFill="1" applyAlignment="1">
      <alignment/>
    </xf>
    <xf numFmtId="0" fontId="28" fillId="33" borderId="0" xfId="0" applyFont="1" applyFill="1" applyAlignment="1">
      <alignment horizontal="center" vertical="center"/>
    </xf>
    <xf numFmtId="0" fontId="27" fillId="24" borderId="0" xfId="0" applyFont="1" applyFill="1" applyAlignment="1">
      <alignment/>
    </xf>
    <xf numFmtId="0" fontId="27" fillId="25" borderId="0" xfId="0" applyFont="1" applyFill="1" applyAlignment="1">
      <alignment/>
    </xf>
    <xf numFmtId="0" fontId="28" fillId="25" borderId="0" xfId="0" applyFont="1" applyFill="1" applyAlignment="1">
      <alignment horizontal="left"/>
    </xf>
    <xf numFmtId="0" fontId="28" fillId="25" borderId="0" xfId="0" applyFont="1" applyFill="1" applyAlignment="1">
      <alignment horizontal="center" vertical="center"/>
    </xf>
    <xf numFmtId="196" fontId="28" fillId="25" borderId="0" xfId="0" applyNumberFormat="1" applyFont="1" applyFill="1" applyAlignment="1">
      <alignment horizontal="center" vertical="center"/>
    </xf>
    <xf numFmtId="196" fontId="28" fillId="33" borderId="0" xfId="0" applyNumberFormat="1" applyFont="1" applyFill="1" applyAlignment="1">
      <alignment horizontal="center" vertical="center"/>
    </xf>
    <xf numFmtId="2" fontId="28" fillId="33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4" fontId="28" fillId="33" borderId="0" xfId="0" applyNumberFormat="1" applyFont="1" applyFill="1" applyAlignment="1">
      <alignment/>
    </xf>
    <xf numFmtId="1" fontId="27" fillId="25" borderId="0" xfId="62" applyNumberFormat="1" applyFont="1" applyFill="1" applyAlignment="1">
      <alignment/>
    </xf>
    <xf numFmtId="0" fontId="28" fillId="25" borderId="0" xfId="0" applyFont="1" applyFill="1" applyBorder="1" applyAlignment="1">
      <alignment/>
    </xf>
    <xf numFmtId="0" fontId="27" fillId="24" borderId="0" xfId="0" applyFont="1" applyFill="1" applyAlignment="1">
      <alignment wrapText="1"/>
    </xf>
    <xf numFmtId="0" fontId="27" fillId="33" borderId="0" xfId="0" applyFont="1" applyFill="1" applyAlignment="1">
      <alignment horizontal="center" vertical="center" wrapText="1"/>
    </xf>
    <xf numFmtId="0" fontId="28" fillId="25" borderId="0" xfId="0" applyFont="1" applyFill="1" applyAlignment="1">
      <alignment wrapText="1"/>
    </xf>
    <xf numFmtId="0" fontId="28" fillId="25" borderId="0" xfId="0" applyFont="1" applyFill="1" applyAlignment="1">
      <alignment horizontal="center" wrapText="1"/>
    </xf>
    <xf numFmtId="0" fontId="28" fillId="33" borderId="0" xfId="0" applyFont="1" applyFill="1" applyAlignment="1">
      <alignment horizontal="center" wrapText="1"/>
    </xf>
    <xf numFmtId="0" fontId="28" fillId="33" borderId="0" xfId="0" applyFont="1" applyFill="1" applyAlignment="1">
      <alignment horizontal="center" vertical="center" wrapText="1"/>
    </xf>
    <xf numFmtId="196" fontId="28" fillId="25" borderId="0" xfId="0" applyNumberFormat="1" applyFont="1" applyFill="1" applyAlignment="1">
      <alignment horizontal="center" vertical="center" wrapText="1"/>
    </xf>
    <xf numFmtId="196" fontId="28" fillId="33" borderId="0" xfId="0" applyNumberFormat="1" applyFont="1" applyFill="1" applyAlignment="1">
      <alignment horizontal="left" vertical="center"/>
    </xf>
    <xf numFmtId="2" fontId="28" fillId="33" borderId="0" xfId="0" applyNumberFormat="1" applyFont="1" applyFill="1" applyAlignment="1">
      <alignment wrapText="1"/>
    </xf>
    <xf numFmtId="0" fontId="28" fillId="33" borderId="0" xfId="0" applyFont="1" applyFill="1" applyAlignment="1">
      <alignment wrapText="1"/>
    </xf>
    <xf numFmtId="1" fontId="27" fillId="25" borderId="0" xfId="62" applyNumberFormat="1" applyFont="1" applyFill="1" applyAlignment="1">
      <alignment wrapText="1"/>
    </xf>
    <xf numFmtId="0" fontId="27" fillId="25" borderId="0" xfId="0" applyFont="1" applyFill="1" applyAlignment="1">
      <alignment wrapText="1"/>
    </xf>
    <xf numFmtId="0" fontId="27" fillId="25" borderId="0" xfId="0" applyFont="1" applyFill="1" applyBorder="1" applyAlignment="1">
      <alignment horizontal="right" vertical="center" wrapText="1"/>
    </xf>
    <xf numFmtId="0" fontId="25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vertical="center"/>
    </xf>
    <xf numFmtId="1" fontId="31" fillId="25" borderId="0" xfId="62" applyNumberFormat="1" applyFont="1" applyFill="1" applyAlignment="1">
      <alignment vertical="center"/>
    </xf>
    <xf numFmtId="0" fontId="23" fillId="25" borderId="0" xfId="0" applyFont="1" applyFill="1" applyAlignment="1">
      <alignment/>
    </xf>
    <xf numFmtId="0" fontId="23" fillId="25" borderId="0" xfId="0" applyFont="1" applyFill="1" applyBorder="1" applyAlignment="1">
      <alignment horizontal="right" vertical="center" wrapText="1"/>
    </xf>
    <xf numFmtId="0" fontId="19" fillId="25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0" fontId="21" fillId="34" borderId="0" xfId="0" applyFont="1" applyFill="1" applyAlignment="1">
      <alignment horizontal="center" vertical="center"/>
    </xf>
    <xf numFmtId="0" fontId="54" fillId="24" borderId="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2" fontId="23" fillId="24" borderId="11" xfId="62" applyNumberFormat="1" applyFont="1" applyFill="1" applyBorder="1" applyAlignment="1">
      <alignment horizontal="center" vertical="center" wrapText="1"/>
    </xf>
    <xf numFmtId="0" fontId="53" fillId="24" borderId="0" xfId="0" applyFont="1" applyFill="1" applyAlignment="1">
      <alignment horizontal="center" vertical="center"/>
    </xf>
    <xf numFmtId="0" fontId="53" fillId="24" borderId="0" xfId="0" applyFont="1" applyFill="1" applyAlignment="1">
      <alignment/>
    </xf>
    <xf numFmtId="0" fontId="56" fillId="24" borderId="0" xfId="0" applyFont="1" applyFill="1" applyAlignment="1">
      <alignment/>
    </xf>
    <xf numFmtId="2" fontId="50" fillId="24" borderId="0" xfId="0" applyNumberFormat="1" applyFont="1" applyFill="1" applyAlignment="1">
      <alignment/>
    </xf>
    <xf numFmtId="0" fontId="54" fillId="24" borderId="0" xfId="0" applyFont="1" applyFill="1" applyAlignment="1">
      <alignment horizontal="left"/>
    </xf>
    <xf numFmtId="1" fontId="56" fillId="24" borderId="0" xfId="62" applyNumberFormat="1" applyFont="1" applyFill="1" applyAlignment="1">
      <alignment/>
    </xf>
    <xf numFmtId="0" fontId="56" fillId="24" borderId="0" xfId="0" applyFont="1" applyFill="1" applyAlignment="1">
      <alignment vertical="center"/>
    </xf>
    <xf numFmtId="0" fontId="57" fillId="24" borderId="0" xfId="0" applyFont="1" applyFill="1" applyAlignment="1">
      <alignment horizontal="center"/>
    </xf>
    <xf numFmtId="0" fontId="57" fillId="24" borderId="0" xfId="0" applyFont="1" applyFill="1" applyAlignment="1">
      <alignment horizontal="center" vertical="center"/>
    </xf>
    <xf numFmtId="0" fontId="53" fillId="24" borderId="0" xfId="0" applyFont="1" applyFill="1" applyAlignment="1">
      <alignment horizontal="center" vertical="center" wrapText="1"/>
    </xf>
    <xf numFmtId="0" fontId="57" fillId="24" borderId="0" xfId="0" applyFont="1" applyFill="1" applyBorder="1" applyAlignment="1">
      <alignment horizontal="center"/>
    </xf>
    <xf numFmtId="0" fontId="53" fillId="24" borderId="0" xfId="0" applyFont="1" applyFill="1" applyBorder="1" applyAlignment="1">
      <alignment horizontal="center" vertical="center" wrapText="1"/>
    </xf>
    <xf numFmtId="0" fontId="58" fillId="24" borderId="0" xfId="0" applyFont="1" applyFill="1" applyBorder="1" applyAlignment="1">
      <alignment horizontal="center" vertical="center"/>
    </xf>
    <xf numFmtId="0" fontId="59" fillId="24" borderId="0" xfId="0" applyFont="1" applyFill="1" applyAlignment="1">
      <alignment vertical="center"/>
    </xf>
    <xf numFmtId="2" fontId="59" fillId="24" borderId="0" xfId="0" applyNumberFormat="1" applyFont="1" applyFill="1" applyAlignment="1">
      <alignment vertical="center"/>
    </xf>
    <xf numFmtId="1" fontId="59" fillId="24" borderId="0" xfId="62" applyNumberFormat="1" applyFont="1" applyFill="1" applyAlignment="1">
      <alignment vertical="center"/>
    </xf>
    <xf numFmtId="0" fontId="59" fillId="24" borderId="14" xfId="0" applyFont="1" applyFill="1" applyBorder="1" applyAlignment="1">
      <alignment vertical="center"/>
    </xf>
    <xf numFmtId="2" fontId="59" fillId="24" borderId="14" xfId="0" applyNumberFormat="1" applyFont="1" applyFill="1" applyBorder="1" applyAlignment="1">
      <alignment vertical="center"/>
    </xf>
    <xf numFmtId="1" fontId="59" fillId="24" borderId="14" xfId="62" applyNumberFormat="1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" fontId="23" fillId="24" borderId="10" xfId="62" applyNumberFormat="1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1" fontId="23" fillId="24" borderId="11" xfId="62" applyNumberFormat="1" applyFont="1" applyFill="1" applyBorder="1" applyAlignment="1">
      <alignment horizontal="center" vertical="center"/>
    </xf>
    <xf numFmtId="3" fontId="22" fillId="24" borderId="11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left" vertical="center" wrapText="1"/>
    </xf>
    <xf numFmtId="3" fontId="22" fillId="24" borderId="11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3" fontId="22" fillId="24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horizontal="center" vertical="center" wrapText="1"/>
    </xf>
    <xf numFmtId="3" fontId="23" fillId="24" borderId="11" xfId="0" applyNumberFormat="1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 vertical="center"/>
    </xf>
    <xf numFmtId="2" fontId="23" fillId="24" borderId="11" xfId="62" applyNumberFormat="1" applyFont="1" applyFill="1" applyBorder="1" applyAlignment="1">
      <alignment horizontal="right" vertical="center" wrapText="1"/>
    </xf>
    <xf numFmtId="0" fontId="21" fillId="24" borderId="0" xfId="0" applyFont="1" applyFill="1" applyAlignment="1">
      <alignment horizontal="center"/>
    </xf>
    <xf numFmtId="1" fontId="20" fillId="24" borderId="0" xfId="62" applyNumberFormat="1" applyFont="1" applyFill="1" applyAlignment="1">
      <alignment/>
    </xf>
    <xf numFmtId="0" fontId="20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/>
    </xf>
    <xf numFmtId="1" fontId="23" fillId="24" borderId="0" xfId="62" applyNumberFormat="1" applyFont="1" applyFill="1" applyAlignment="1">
      <alignment/>
    </xf>
    <xf numFmtId="4" fontId="22" fillId="24" borderId="0" xfId="0" applyNumberFormat="1" applyFont="1" applyFill="1" applyAlignment="1">
      <alignment/>
    </xf>
    <xf numFmtId="0" fontId="23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 vertical="center"/>
    </xf>
    <xf numFmtId="4" fontId="28" fillId="24" borderId="0" xfId="0" applyNumberFormat="1" applyFont="1" applyFill="1" applyAlignment="1">
      <alignment/>
    </xf>
    <xf numFmtId="1" fontId="27" fillId="24" borderId="0" xfId="62" applyNumberFormat="1" applyFont="1" applyFill="1" applyAlignment="1">
      <alignment/>
    </xf>
    <xf numFmtId="3" fontId="27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/>
    </xf>
    <xf numFmtId="3" fontId="27" fillId="24" borderId="0" xfId="0" applyNumberFormat="1" applyFont="1" applyFill="1" applyAlignment="1">
      <alignment horizontal="center" vertical="center"/>
    </xf>
    <xf numFmtId="0" fontId="60" fillId="24" borderId="0" xfId="0" applyFont="1" applyFill="1" applyAlignment="1">
      <alignment/>
    </xf>
    <xf numFmtId="0" fontId="60" fillId="24" borderId="0" xfId="0" applyFont="1" applyFill="1" applyAlignment="1">
      <alignment/>
    </xf>
    <xf numFmtId="0" fontId="60" fillId="24" borderId="0" xfId="0" applyFont="1" applyFill="1" applyAlignment="1">
      <alignment horizontal="center"/>
    </xf>
    <xf numFmtId="2" fontId="60" fillId="24" borderId="0" xfId="0" applyNumberFormat="1" applyFont="1" applyFill="1" applyAlignment="1">
      <alignment/>
    </xf>
    <xf numFmtId="1" fontId="55" fillId="24" borderId="0" xfId="62" applyNumberFormat="1" applyFont="1" applyFill="1" applyAlignment="1">
      <alignment/>
    </xf>
    <xf numFmtId="0" fontId="55" fillId="24" borderId="0" xfId="0" applyFont="1" applyFill="1" applyBorder="1" applyAlignment="1">
      <alignment/>
    </xf>
    <xf numFmtId="0" fontId="61" fillId="24" borderId="0" xfId="0" applyFont="1" applyFill="1" applyBorder="1" applyAlignment="1">
      <alignment horizontal="center" vertical="center"/>
    </xf>
    <xf numFmtId="0" fontId="55" fillId="24" borderId="0" xfId="0" applyFont="1" applyFill="1" applyAlignment="1">
      <alignment horizontal="center"/>
    </xf>
    <xf numFmtId="3" fontId="53" fillId="24" borderId="0" xfId="0" applyNumberFormat="1" applyFont="1" applyFill="1" applyAlignment="1">
      <alignment horizontal="center" vertical="center"/>
    </xf>
    <xf numFmtId="4" fontId="55" fillId="24" borderId="0" xfId="0" applyNumberFormat="1" applyFont="1" applyFill="1" applyAlignment="1">
      <alignment horizontal="center" vertical="center"/>
    </xf>
    <xf numFmtId="4" fontId="60" fillId="24" borderId="0" xfId="0" applyNumberFormat="1" applyFont="1" applyFill="1" applyAlignment="1">
      <alignment/>
    </xf>
    <xf numFmtId="0" fontId="60" fillId="24" borderId="0" xfId="0" applyFont="1" applyFill="1" applyAlignment="1">
      <alignment horizontal="center" vertical="center"/>
    </xf>
    <xf numFmtId="0" fontId="60" fillId="24" borderId="0" xfId="0" applyFont="1" applyFill="1" applyAlignment="1">
      <alignment horizontal="left"/>
    </xf>
    <xf numFmtId="196" fontId="60" fillId="24" borderId="0" xfId="0" applyNumberFormat="1" applyFont="1" applyFill="1" applyAlignment="1">
      <alignment horizontal="center" vertical="center"/>
    </xf>
    <xf numFmtId="2" fontId="60" fillId="24" borderId="0" xfId="0" applyNumberFormat="1" applyFont="1" applyFill="1" applyAlignment="1">
      <alignment/>
    </xf>
    <xf numFmtId="3" fontId="55" fillId="24" borderId="0" xfId="0" applyNumberFormat="1" applyFont="1" applyFill="1" applyAlignment="1">
      <alignment/>
    </xf>
    <xf numFmtId="4" fontId="60" fillId="24" borderId="0" xfId="0" applyNumberFormat="1" applyFont="1" applyFill="1" applyAlignment="1">
      <alignment/>
    </xf>
    <xf numFmtId="1" fontId="55" fillId="24" borderId="0" xfId="62" applyNumberFormat="1" applyFont="1" applyFill="1" applyAlignment="1">
      <alignment/>
    </xf>
    <xf numFmtId="0" fontId="60" fillId="24" borderId="0" xfId="0" applyFont="1" applyFill="1" applyBorder="1" applyAlignment="1">
      <alignment/>
    </xf>
    <xf numFmtId="0" fontId="55" fillId="24" borderId="0" xfId="0" applyFont="1" applyFill="1" applyAlignment="1">
      <alignment horizontal="center" vertical="center" wrapText="1"/>
    </xf>
    <xf numFmtId="0" fontId="60" fillId="24" borderId="0" xfId="0" applyFont="1" applyFill="1" applyAlignment="1">
      <alignment wrapText="1"/>
    </xf>
    <xf numFmtId="0" fontId="60" fillId="24" borderId="0" xfId="0" applyFont="1" applyFill="1" applyAlignment="1">
      <alignment horizontal="center" wrapText="1"/>
    </xf>
    <xf numFmtId="0" fontId="60" fillId="24" borderId="0" xfId="0" applyFont="1" applyFill="1" applyAlignment="1">
      <alignment horizontal="center" vertical="center" wrapText="1"/>
    </xf>
    <xf numFmtId="196" fontId="60" fillId="24" borderId="0" xfId="0" applyNumberFormat="1" applyFont="1" applyFill="1" applyAlignment="1">
      <alignment horizontal="center" vertical="center" wrapText="1"/>
    </xf>
    <xf numFmtId="196" fontId="60" fillId="24" borderId="0" xfId="0" applyNumberFormat="1" applyFont="1" applyFill="1" applyAlignment="1">
      <alignment horizontal="left" vertical="center"/>
    </xf>
    <xf numFmtId="2" fontId="60" fillId="24" borderId="0" xfId="0" applyNumberFormat="1" applyFont="1" applyFill="1" applyAlignment="1">
      <alignment wrapText="1"/>
    </xf>
    <xf numFmtId="1" fontId="55" fillId="24" borderId="0" xfId="62" applyNumberFormat="1" applyFont="1" applyFill="1" applyAlignment="1">
      <alignment wrapText="1"/>
    </xf>
    <xf numFmtId="0" fontId="55" fillId="24" borderId="0" xfId="0" applyFont="1" applyFill="1" applyBorder="1" applyAlignment="1">
      <alignment horizontal="right" vertical="center" wrapText="1"/>
    </xf>
    <xf numFmtId="0" fontId="59" fillId="24" borderId="0" xfId="0" applyFont="1" applyFill="1" applyAlignment="1">
      <alignment horizontal="center" vertical="center"/>
    </xf>
    <xf numFmtId="0" fontId="57" fillId="24" borderId="0" xfId="0" applyFont="1" applyFill="1" applyAlignment="1">
      <alignment vertical="center"/>
    </xf>
    <xf numFmtId="1" fontId="57" fillId="24" borderId="0" xfId="62" applyNumberFormat="1" applyFont="1" applyFill="1" applyAlignment="1">
      <alignment vertical="center"/>
    </xf>
    <xf numFmtId="0" fontId="54" fillId="24" borderId="0" xfId="0" applyFont="1" applyFill="1" applyAlignment="1">
      <alignment/>
    </xf>
    <xf numFmtId="0" fontId="54" fillId="24" borderId="0" xfId="0" applyFont="1" applyFill="1" applyBorder="1" applyAlignment="1">
      <alignment horizontal="right" vertical="center" wrapText="1"/>
    </xf>
    <xf numFmtId="0" fontId="56" fillId="24" borderId="0" xfId="0" applyFont="1" applyFill="1" applyAlignment="1">
      <alignment horizontal="center"/>
    </xf>
    <xf numFmtId="0" fontId="62" fillId="24" borderId="0" xfId="0" applyFont="1" applyFill="1" applyAlignment="1">
      <alignment/>
    </xf>
    <xf numFmtId="0" fontId="51" fillId="24" borderId="0" xfId="0" applyFont="1" applyFill="1" applyAlignment="1">
      <alignment horizontal="center"/>
    </xf>
    <xf numFmtId="0" fontId="52" fillId="24" borderId="0" xfId="0" applyFont="1" applyFill="1" applyAlignment="1">
      <alignment/>
    </xf>
    <xf numFmtId="2" fontId="51" fillId="24" borderId="0" xfId="0" applyNumberFormat="1" applyFont="1" applyFill="1" applyAlignment="1">
      <alignment/>
    </xf>
    <xf numFmtId="1" fontId="52" fillId="24" borderId="0" xfId="62" applyNumberFormat="1" applyFont="1" applyFill="1" applyAlignment="1">
      <alignment/>
    </xf>
    <xf numFmtId="0" fontId="52" fillId="24" borderId="0" xfId="0" applyFont="1" applyFill="1" applyAlignment="1">
      <alignment horizontal="center"/>
    </xf>
    <xf numFmtId="0" fontId="52" fillId="24" borderId="0" xfId="0" applyFont="1" applyFill="1" applyAlignment="1">
      <alignment horizontal="center" vertical="center"/>
    </xf>
    <xf numFmtId="0" fontId="51" fillId="28" borderId="0" xfId="0" applyFont="1" applyFill="1" applyAlignment="1">
      <alignment/>
    </xf>
    <xf numFmtId="0" fontId="22" fillId="35" borderId="13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left" vertical="center" wrapText="1"/>
    </xf>
    <xf numFmtId="0" fontId="24" fillId="35" borderId="13" xfId="0" applyFont="1" applyFill="1" applyBorder="1" applyAlignment="1">
      <alignment horizontal="left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14" fontId="22" fillId="35" borderId="13" xfId="0" applyNumberFormat="1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/>
    </xf>
    <xf numFmtId="14" fontId="24" fillId="35" borderId="10" xfId="0" applyNumberFormat="1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3" fontId="23" fillId="35" borderId="11" xfId="0" applyNumberFormat="1" applyFont="1" applyFill="1" applyBorder="1" applyAlignment="1">
      <alignment horizontal="center" vertical="center"/>
    </xf>
    <xf numFmtId="2" fontId="22" fillId="35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1" fontId="23" fillId="35" borderId="11" xfId="62" applyNumberFormat="1" applyFont="1" applyFill="1" applyBorder="1" applyAlignment="1">
      <alignment horizontal="center" vertical="center"/>
    </xf>
    <xf numFmtId="3" fontId="22" fillId="35" borderId="11" xfId="0" applyNumberFormat="1" applyFont="1" applyFill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21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vertical="center" wrapText="1"/>
    </xf>
    <xf numFmtId="0" fontId="26" fillId="36" borderId="11" xfId="0" applyFont="1" applyFill="1" applyBorder="1" applyAlignment="1">
      <alignment horizontal="left" vertical="center" wrapText="1"/>
    </xf>
    <xf numFmtId="0" fontId="24" fillId="36" borderId="11" xfId="0" applyFont="1" applyFill="1" applyBorder="1" applyAlignment="1">
      <alignment horizontal="center" vertical="center" wrapText="1"/>
    </xf>
    <xf numFmtId="3" fontId="22" fillId="36" borderId="11" xfId="0" applyNumberFormat="1" applyFont="1" applyFill="1" applyBorder="1" applyAlignment="1">
      <alignment horizontal="center" vertical="center" wrapText="1"/>
    </xf>
    <xf numFmtId="4" fontId="22" fillId="36" borderId="11" xfId="0" applyNumberFormat="1" applyFont="1" applyFill="1" applyBorder="1" applyAlignment="1">
      <alignment horizontal="right" vertical="center" wrapText="1"/>
    </xf>
    <xf numFmtId="3" fontId="22" fillId="36" borderId="11" xfId="0" applyNumberFormat="1" applyFont="1" applyFill="1" applyBorder="1" applyAlignment="1">
      <alignment horizontal="right" vertical="center" wrapText="1"/>
    </xf>
    <xf numFmtId="4" fontId="22" fillId="36" borderId="11" xfId="0" applyNumberFormat="1" applyFont="1" applyFill="1" applyBorder="1" applyAlignment="1">
      <alignment horizontal="center" vertical="center" wrapText="1"/>
    </xf>
    <xf numFmtId="14" fontId="22" fillId="36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196" fontId="22" fillId="36" borderId="11" xfId="0" applyNumberFormat="1" applyFont="1" applyFill="1" applyBorder="1" applyAlignment="1">
      <alignment horizontal="center" vertical="center"/>
    </xf>
    <xf numFmtId="14" fontId="22" fillId="36" borderId="11" xfId="0" applyNumberFormat="1" applyFont="1" applyFill="1" applyBorder="1" applyAlignment="1">
      <alignment horizontal="center" vertical="center"/>
    </xf>
    <xf numFmtId="3" fontId="23" fillId="36" borderId="11" xfId="0" applyNumberFormat="1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3" fontId="22" fillId="36" borderId="11" xfId="0" applyNumberFormat="1" applyFont="1" applyFill="1" applyBorder="1" applyAlignment="1">
      <alignment horizontal="center" vertical="center"/>
    </xf>
    <xf numFmtId="2" fontId="22" fillId="36" borderId="11" xfId="0" applyNumberFormat="1" applyFont="1" applyFill="1" applyBorder="1" applyAlignment="1">
      <alignment horizontal="center" vertical="center"/>
    </xf>
    <xf numFmtId="1" fontId="23" fillId="36" borderId="11" xfId="62" applyNumberFormat="1" applyFont="1" applyFill="1" applyBorder="1" applyAlignment="1">
      <alignment horizontal="center" vertical="center"/>
    </xf>
    <xf numFmtId="3" fontId="23" fillId="36" borderId="11" xfId="0" applyNumberFormat="1" applyFont="1" applyFill="1" applyBorder="1" applyAlignment="1">
      <alignment horizontal="center"/>
    </xf>
    <xf numFmtId="3" fontId="64" fillId="36" borderId="11" xfId="0" applyNumberFormat="1" applyFont="1" applyFill="1" applyBorder="1" applyAlignment="1">
      <alignment horizontal="center" vertical="center"/>
    </xf>
    <xf numFmtId="4" fontId="22" fillId="36" borderId="0" xfId="0" applyNumberFormat="1" applyFont="1" applyFill="1" applyAlignment="1">
      <alignment horizontal="left"/>
    </xf>
    <xf numFmtId="0" fontId="51" fillId="36" borderId="0" xfId="0" applyFont="1" applyFill="1" applyAlignment="1">
      <alignment/>
    </xf>
    <xf numFmtId="0" fontId="21" fillId="37" borderId="11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vertical="center" wrapText="1"/>
    </xf>
    <xf numFmtId="0" fontId="24" fillId="37" borderId="11" xfId="0" applyFont="1" applyFill="1" applyBorder="1" applyAlignment="1">
      <alignment horizontal="left" vertical="center" wrapText="1"/>
    </xf>
    <xf numFmtId="0" fontId="24" fillId="37" borderId="11" xfId="0" applyFont="1" applyFill="1" applyBorder="1" applyAlignment="1">
      <alignment horizontal="center" vertical="center" wrapText="1"/>
    </xf>
    <xf numFmtId="3" fontId="22" fillId="37" borderId="11" xfId="0" applyNumberFormat="1" applyFont="1" applyFill="1" applyBorder="1" applyAlignment="1">
      <alignment horizontal="center" vertical="center" wrapText="1"/>
    </xf>
    <xf numFmtId="4" fontId="22" fillId="37" borderId="11" xfId="0" applyNumberFormat="1" applyFont="1" applyFill="1" applyBorder="1" applyAlignment="1">
      <alignment horizontal="right" vertical="center" wrapText="1"/>
    </xf>
    <xf numFmtId="3" fontId="22" fillId="37" borderId="11" xfId="0" applyNumberFormat="1" applyFont="1" applyFill="1" applyBorder="1" applyAlignment="1">
      <alignment horizontal="right" vertical="center" wrapText="1"/>
    </xf>
    <xf numFmtId="4" fontId="22" fillId="37" borderId="11" xfId="0" applyNumberFormat="1" applyFont="1" applyFill="1" applyBorder="1" applyAlignment="1">
      <alignment horizontal="center" vertical="center" wrapText="1"/>
    </xf>
    <xf numFmtId="14" fontId="22" fillId="37" borderId="11" xfId="0" applyNumberFormat="1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/>
    </xf>
    <xf numFmtId="196" fontId="22" fillId="37" borderId="11" xfId="0" applyNumberFormat="1" applyFont="1" applyFill="1" applyBorder="1" applyAlignment="1">
      <alignment horizontal="center" vertical="center"/>
    </xf>
    <xf numFmtId="14" fontId="22" fillId="37" borderId="11" xfId="0" applyNumberFormat="1" applyFont="1" applyFill="1" applyBorder="1" applyAlignment="1">
      <alignment horizontal="center" vertical="center"/>
    </xf>
    <xf numFmtId="3" fontId="23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3" fontId="22" fillId="37" borderId="11" xfId="0" applyNumberFormat="1" applyFont="1" applyFill="1" applyBorder="1" applyAlignment="1">
      <alignment horizontal="center" vertical="center"/>
    </xf>
    <xf numFmtId="2" fontId="22" fillId="37" borderId="11" xfId="0" applyNumberFormat="1" applyFont="1" applyFill="1" applyBorder="1" applyAlignment="1">
      <alignment horizontal="center" vertical="center"/>
    </xf>
    <xf numFmtId="1" fontId="23" fillId="37" borderId="11" xfId="62" applyNumberFormat="1" applyFont="1" applyFill="1" applyBorder="1" applyAlignment="1">
      <alignment horizontal="center" vertical="center"/>
    </xf>
    <xf numFmtId="3" fontId="23" fillId="37" borderId="11" xfId="0" applyNumberFormat="1" applyFont="1" applyFill="1" applyBorder="1" applyAlignment="1">
      <alignment horizontal="center"/>
    </xf>
    <xf numFmtId="3" fontId="64" fillId="37" borderId="11" xfId="0" applyNumberFormat="1" applyFont="1" applyFill="1" applyBorder="1" applyAlignment="1">
      <alignment horizontal="center" vertical="center"/>
    </xf>
    <xf numFmtId="4" fontId="22" fillId="37" borderId="0" xfId="0" applyNumberFormat="1" applyFont="1" applyFill="1" applyAlignment="1">
      <alignment horizontal="left"/>
    </xf>
    <xf numFmtId="0" fontId="51" fillId="37" borderId="0" xfId="0" applyFont="1" applyFill="1" applyAlignment="1">
      <alignment/>
    </xf>
    <xf numFmtId="0" fontId="21" fillId="28" borderId="11" xfId="0" applyFont="1" applyFill="1" applyBorder="1" applyAlignment="1">
      <alignment horizontal="center" vertical="center"/>
    </xf>
    <xf numFmtId="0" fontId="24" fillId="28" borderId="11" xfId="0" applyFont="1" applyFill="1" applyBorder="1" applyAlignment="1">
      <alignment horizontal="left" vertical="center" wrapText="1"/>
    </xf>
    <xf numFmtId="3" fontId="64" fillId="28" borderId="11" xfId="0" applyNumberFormat="1" applyFont="1" applyFill="1" applyBorder="1" applyAlignment="1">
      <alignment horizontal="center" vertical="center"/>
    </xf>
    <xf numFmtId="0" fontId="21" fillId="30" borderId="11" xfId="0" applyFont="1" applyFill="1" applyBorder="1" applyAlignment="1">
      <alignment horizontal="center" vertical="center"/>
    </xf>
    <xf numFmtId="0" fontId="24" fillId="30" borderId="11" xfId="0" applyFont="1" applyFill="1" applyBorder="1" applyAlignment="1">
      <alignment vertical="center" wrapText="1"/>
    </xf>
    <xf numFmtId="0" fontId="24" fillId="30" borderId="11" xfId="0" applyFont="1" applyFill="1" applyBorder="1" applyAlignment="1">
      <alignment horizontal="left" vertical="center" wrapText="1"/>
    </xf>
    <xf numFmtId="2" fontId="22" fillId="30" borderId="11" xfId="0" applyNumberFormat="1" applyFont="1" applyFill="1" applyBorder="1" applyAlignment="1">
      <alignment horizontal="center" vertical="center"/>
    </xf>
    <xf numFmtId="3" fontId="64" fillId="30" borderId="11" xfId="0" applyNumberFormat="1" applyFont="1" applyFill="1" applyBorder="1" applyAlignment="1">
      <alignment horizontal="center" vertical="center"/>
    </xf>
    <xf numFmtId="4" fontId="22" fillId="30" borderId="0" xfId="0" applyNumberFormat="1" applyFont="1" applyFill="1" applyAlignment="1">
      <alignment horizontal="left"/>
    </xf>
    <xf numFmtId="0" fontId="51" fillId="30" borderId="0" xfId="0" applyFont="1" applyFill="1" applyAlignment="1">
      <alignment/>
    </xf>
    <xf numFmtId="0" fontId="21" fillId="38" borderId="11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vertical="center" wrapText="1"/>
    </xf>
    <xf numFmtId="0" fontId="24" fillId="38" borderId="11" xfId="0" applyFont="1" applyFill="1" applyBorder="1" applyAlignment="1">
      <alignment horizontal="left" vertical="center" wrapText="1"/>
    </xf>
    <xf numFmtId="0" fontId="24" fillId="38" borderId="11" xfId="0" applyFont="1" applyFill="1" applyBorder="1" applyAlignment="1">
      <alignment horizontal="center" vertical="center" wrapText="1"/>
    </xf>
    <xf numFmtId="3" fontId="22" fillId="38" borderId="11" xfId="0" applyNumberFormat="1" applyFont="1" applyFill="1" applyBorder="1" applyAlignment="1">
      <alignment horizontal="center" vertical="center" wrapText="1"/>
    </xf>
    <xf numFmtId="4" fontId="22" fillId="38" borderId="11" xfId="0" applyNumberFormat="1" applyFont="1" applyFill="1" applyBorder="1" applyAlignment="1">
      <alignment horizontal="right" vertical="center" wrapText="1"/>
    </xf>
    <xf numFmtId="3" fontId="22" fillId="38" borderId="11" xfId="0" applyNumberFormat="1" applyFont="1" applyFill="1" applyBorder="1" applyAlignment="1">
      <alignment horizontal="right" vertical="center" wrapText="1"/>
    </xf>
    <xf numFmtId="4" fontId="22" fillId="38" borderId="11" xfId="0" applyNumberFormat="1" applyFont="1" applyFill="1" applyBorder="1" applyAlignment="1">
      <alignment horizontal="center" vertical="center" wrapText="1"/>
    </xf>
    <xf numFmtId="14" fontId="22" fillId="38" borderId="11" xfId="0" applyNumberFormat="1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center" vertical="center"/>
    </xf>
    <xf numFmtId="196" fontId="22" fillId="38" borderId="11" xfId="0" applyNumberFormat="1" applyFont="1" applyFill="1" applyBorder="1" applyAlignment="1">
      <alignment horizontal="center" vertical="center"/>
    </xf>
    <xf numFmtId="14" fontId="22" fillId="38" borderId="11" xfId="0" applyNumberFormat="1" applyFont="1" applyFill="1" applyBorder="1" applyAlignment="1">
      <alignment horizontal="center" vertical="center"/>
    </xf>
    <xf numFmtId="3" fontId="23" fillId="38" borderId="11" xfId="0" applyNumberFormat="1" applyFont="1" applyFill="1" applyBorder="1" applyAlignment="1">
      <alignment horizontal="center" vertical="center"/>
    </xf>
    <xf numFmtId="4" fontId="22" fillId="38" borderId="11" xfId="0" applyNumberFormat="1" applyFont="1" applyFill="1" applyBorder="1" applyAlignment="1">
      <alignment horizontal="center" vertical="center"/>
    </xf>
    <xf numFmtId="3" fontId="22" fillId="38" borderId="11" xfId="0" applyNumberFormat="1" applyFont="1" applyFill="1" applyBorder="1" applyAlignment="1">
      <alignment horizontal="center" vertical="center"/>
    </xf>
    <xf numFmtId="2" fontId="22" fillId="38" borderId="11" xfId="0" applyNumberFormat="1" applyFont="1" applyFill="1" applyBorder="1" applyAlignment="1">
      <alignment horizontal="center" vertical="center"/>
    </xf>
    <xf numFmtId="1" fontId="23" fillId="38" borderId="11" xfId="62" applyNumberFormat="1" applyFont="1" applyFill="1" applyBorder="1" applyAlignment="1">
      <alignment horizontal="center" vertical="center"/>
    </xf>
    <xf numFmtId="3" fontId="23" fillId="38" borderId="11" xfId="0" applyNumberFormat="1" applyFont="1" applyFill="1" applyBorder="1" applyAlignment="1">
      <alignment horizontal="center"/>
    </xf>
    <xf numFmtId="3" fontId="64" fillId="38" borderId="11" xfId="0" applyNumberFormat="1" applyFont="1" applyFill="1" applyBorder="1" applyAlignment="1">
      <alignment horizontal="center" vertical="center"/>
    </xf>
    <xf numFmtId="4" fontId="22" fillId="38" borderId="0" xfId="0" applyNumberFormat="1" applyFont="1" applyFill="1" applyAlignment="1">
      <alignment horizontal="left"/>
    </xf>
    <xf numFmtId="0" fontId="51" fillId="38" borderId="0" xfId="0" applyFont="1" applyFill="1" applyAlignment="1">
      <alignment/>
    </xf>
    <xf numFmtId="14" fontId="22" fillId="38" borderId="12" xfId="0" applyNumberFormat="1" applyFont="1" applyFill="1" applyBorder="1" applyAlignment="1">
      <alignment horizontal="center" vertical="center"/>
    </xf>
    <xf numFmtId="0" fontId="22" fillId="38" borderId="12" xfId="0" applyFont="1" applyFill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34" fillId="38" borderId="11" xfId="0" applyFont="1" applyFill="1" applyBorder="1" applyAlignment="1">
      <alignment vertical="center" wrapText="1"/>
    </xf>
    <xf numFmtId="0" fontId="34" fillId="30" borderId="11" xfId="0" applyFont="1" applyFill="1" applyBorder="1" applyAlignment="1">
      <alignment vertical="center" wrapText="1"/>
    </xf>
    <xf numFmtId="0" fontId="26" fillId="37" borderId="11" xfId="0" applyFont="1" applyFill="1" applyBorder="1" applyAlignment="1">
      <alignment horizontal="left" vertical="center" wrapText="1"/>
    </xf>
    <xf numFmtId="0" fontId="21" fillId="37" borderId="0" xfId="0" applyFont="1" applyFill="1" applyAlignment="1">
      <alignment/>
    </xf>
    <xf numFmtId="0" fontId="24" fillId="32" borderId="13" xfId="0" applyFont="1" applyFill="1" applyBorder="1" applyAlignment="1">
      <alignment vertical="center" wrapText="1"/>
    </xf>
    <xf numFmtId="0" fontId="24" fillId="35" borderId="13" xfId="0" applyFont="1" applyFill="1" applyBorder="1" applyAlignment="1">
      <alignment vertical="center" wrapText="1"/>
    </xf>
    <xf numFmtId="0" fontId="21" fillId="36" borderId="0" xfId="0" applyFont="1" applyFill="1" applyAlignment="1">
      <alignment/>
    </xf>
    <xf numFmtId="0" fontId="22" fillId="36" borderId="13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left" vertical="center" wrapText="1"/>
    </xf>
    <xf numFmtId="0" fontId="35" fillId="36" borderId="11" xfId="0" applyFont="1" applyFill="1" applyBorder="1" applyAlignment="1">
      <alignment vertical="center" wrapText="1"/>
    </xf>
    <xf numFmtId="0" fontId="24" fillId="36" borderId="13" xfId="0" applyFont="1" applyFill="1" applyBorder="1" applyAlignment="1">
      <alignment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14" fontId="22" fillId="36" borderId="13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/>
    </xf>
    <xf numFmtId="14" fontId="24" fillId="36" borderId="10" xfId="0" applyNumberFormat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0" fontId="21" fillId="39" borderId="0" xfId="0" applyFont="1" applyFill="1" applyAlignment="1">
      <alignment/>
    </xf>
    <xf numFmtId="0" fontId="22" fillId="39" borderId="13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left" vertical="center" wrapText="1"/>
    </xf>
    <xf numFmtId="0" fontId="35" fillId="39" borderId="11" xfId="0" applyFont="1" applyFill="1" applyBorder="1" applyAlignment="1">
      <alignment vertical="center" wrapText="1"/>
    </xf>
    <xf numFmtId="0" fontId="24" fillId="39" borderId="13" xfId="0" applyFont="1" applyFill="1" applyBorder="1" applyAlignment="1">
      <alignment vertical="center" wrapText="1"/>
    </xf>
    <xf numFmtId="0" fontId="24" fillId="39" borderId="11" xfId="0" applyFont="1" applyFill="1" applyBorder="1" applyAlignment="1">
      <alignment horizontal="center" vertical="center" wrapText="1"/>
    </xf>
    <xf numFmtId="0" fontId="24" fillId="39" borderId="13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2" fillId="39" borderId="13" xfId="0" applyFont="1" applyFill="1" applyBorder="1" applyAlignment="1">
      <alignment horizontal="center" vertical="center" wrapText="1"/>
    </xf>
    <xf numFmtId="14" fontId="22" fillId="39" borderId="13" xfId="0" applyNumberFormat="1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/>
    </xf>
    <xf numFmtId="14" fontId="24" fillId="39" borderId="10" xfId="0" applyNumberFormat="1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 vertical="center" wrapText="1"/>
    </xf>
    <xf numFmtId="3" fontId="23" fillId="39" borderId="11" xfId="0" applyNumberFormat="1" applyFont="1" applyFill="1" applyBorder="1" applyAlignment="1">
      <alignment horizontal="center" vertical="center"/>
    </xf>
    <xf numFmtId="2" fontId="22" fillId="39" borderId="11" xfId="0" applyNumberFormat="1" applyFont="1" applyFill="1" applyBorder="1" applyAlignment="1">
      <alignment horizontal="center" vertical="center"/>
    </xf>
    <xf numFmtId="4" fontId="22" fillId="39" borderId="11" xfId="0" applyNumberFormat="1" applyFont="1" applyFill="1" applyBorder="1" applyAlignment="1">
      <alignment horizontal="center" vertical="center"/>
    </xf>
    <xf numFmtId="4" fontId="22" fillId="39" borderId="0" xfId="0" applyNumberFormat="1" applyFont="1" applyFill="1" applyAlignment="1">
      <alignment horizontal="left"/>
    </xf>
    <xf numFmtId="2" fontId="23" fillId="36" borderId="11" xfId="0" applyNumberFormat="1" applyFont="1" applyFill="1" applyBorder="1" applyAlignment="1">
      <alignment horizontal="center" vertical="center"/>
    </xf>
    <xf numFmtId="2" fontId="22" fillId="36" borderId="10" xfId="62" applyNumberFormat="1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center" vertical="center"/>
    </xf>
    <xf numFmtId="2" fontId="26" fillId="36" borderId="11" xfId="0" applyNumberFormat="1" applyFont="1" applyFill="1" applyBorder="1" applyAlignment="1">
      <alignment horizontal="center" vertical="center" wrapText="1"/>
    </xf>
    <xf numFmtId="2" fontId="23" fillId="39" borderId="11" xfId="0" applyNumberFormat="1" applyFont="1" applyFill="1" applyBorder="1" applyAlignment="1">
      <alignment horizontal="center" vertical="center"/>
    </xf>
    <xf numFmtId="2" fontId="22" fillId="39" borderId="10" xfId="62" applyNumberFormat="1" applyFont="1" applyFill="1" applyBorder="1" applyAlignment="1">
      <alignment horizontal="center" vertical="center"/>
    </xf>
    <xf numFmtId="2" fontId="22" fillId="39" borderId="10" xfId="0" applyNumberFormat="1" applyFont="1" applyFill="1" applyBorder="1" applyAlignment="1">
      <alignment horizontal="center" vertical="center"/>
    </xf>
    <xf numFmtId="2" fontId="26" fillId="39" borderId="11" xfId="0" applyNumberFormat="1" applyFont="1" applyFill="1" applyBorder="1" applyAlignment="1">
      <alignment horizontal="center" vertical="center" wrapText="1"/>
    </xf>
    <xf numFmtId="1" fontId="23" fillId="36" borderId="11" xfId="0" applyNumberFormat="1" applyFont="1" applyFill="1" applyBorder="1" applyAlignment="1">
      <alignment horizontal="center" vertical="center"/>
    </xf>
    <xf numFmtId="1" fontId="23" fillId="39" borderId="11" xfId="0" applyNumberFormat="1" applyFont="1" applyFill="1" applyBorder="1" applyAlignment="1">
      <alignment horizontal="center" vertical="center"/>
    </xf>
    <xf numFmtId="3" fontId="64" fillId="31" borderId="11" xfId="0" applyNumberFormat="1" applyFont="1" applyFill="1" applyBorder="1" applyAlignment="1">
      <alignment horizontal="center" vertical="center"/>
    </xf>
    <xf numFmtId="2" fontId="63" fillId="36" borderId="11" xfId="0" applyNumberFormat="1" applyFont="1" applyFill="1" applyBorder="1" applyAlignment="1">
      <alignment horizontal="center" vertical="center" wrapText="1"/>
    </xf>
    <xf numFmtId="2" fontId="63" fillId="39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0" fontId="21" fillId="40" borderId="0" xfId="0" applyFont="1" applyFill="1" applyAlignment="1">
      <alignment/>
    </xf>
    <xf numFmtId="0" fontId="22" fillId="40" borderId="13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 wrapText="1"/>
    </xf>
    <xf numFmtId="0" fontId="22" fillId="40" borderId="13" xfId="0" applyFont="1" applyFill="1" applyBorder="1" applyAlignment="1">
      <alignment horizontal="left" vertical="center" wrapText="1"/>
    </xf>
    <xf numFmtId="0" fontId="24" fillId="40" borderId="13" xfId="0" applyFont="1" applyFill="1" applyBorder="1" applyAlignment="1">
      <alignment vertical="center" wrapText="1"/>
    </xf>
    <xf numFmtId="0" fontId="24" fillId="40" borderId="11" xfId="0" applyFont="1" applyFill="1" applyBorder="1" applyAlignment="1">
      <alignment horizontal="center" vertical="center" wrapText="1"/>
    </xf>
    <xf numFmtId="0" fontId="24" fillId="40" borderId="13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2" fillId="40" borderId="13" xfId="0" applyFont="1" applyFill="1" applyBorder="1" applyAlignment="1">
      <alignment horizontal="center" vertical="center" wrapText="1"/>
    </xf>
    <xf numFmtId="14" fontId="22" fillId="40" borderId="13" xfId="0" applyNumberFormat="1" applyFont="1" applyFill="1" applyBorder="1" applyAlignment="1">
      <alignment horizontal="center" vertical="center" wrapText="1"/>
    </xf>
    <xf numFmtId="0" fontId="24" fillId="40" borderId="10" xfId="0" applyFont="1" applyFill="1" applyBorder="1" applyAlignment="1">
      <alignment horizontal="center" vertical="center"/>
    </xf>
    <xf numFmtId="14" fontId="24" fillId="40" borderId="10" xfId="0" applyNumberFormat="1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 wrapText="1"/>
    </xf>
    <xf numFmtId="3" fontId="23" fillId="40" borderId="11" xfId="0" applyNumberFormat="1" applyFont="1" applyFill="1" applyBorder="1" applyAlignment="1">
      <alignment horizontal="center" vertical="center"/>
    </xf>
    <xf numFmtId="2" fontId="22" fillId="40" borderId="11" xfId="0" applyNumberFormat="1" applyFont="1" applyFill="1" applyBorder="1" applyAlignment="1">
      <alignment horizontal="center" vertical="center"/>
    </xf>
    <xf numFmtId="4" fontId="22" fillId="40" borderId="11" xfId="0" applyNumberFormat="1" applyFont="1" applyFill="1" applyBorder="1" applyAlignment="1">
      <alignment horizontal="center" vertical="center"/>
    </xf>
    <xf numFmtId="1" fontId="23" fillId="40" borderId="11" xfId="62" applyNumberFormat="1" applyFont="1" applyFill="1" applyBorder="1" applyAlignment="1">
      <alignment horizontal="center" vertical="center"/>
    </xf>
    <xf numFmtId="3" fontId="22" fillId="40" borderId="11" xfId="0" applyNumberFormat="1" applyFont="1" applyFill="1" applyBorder="1" applyAlignment="1">
      <alignment horizontal="center" vertical="center"/>
    </xf>
    <xf numFmtId="4" fontId="22" fillId="40" borderId="0" xfId="0" applyNumberFormat="1" applyFont="1" applyFill="1" applyAlignment="1">
      <alignment horizontal="left"/>
    </xf>
    <xf numFmtId="0" fontId="26" fillId="40" borderId="11" xfId="0" applyFont="1" applyFill="1" applyBorder="1" applyAlignment="1">
      <alignment horizontal="left" vertical="center" wrapText="1"/>
    </xf>
    <xf numFmtId="3" fontId="24" fillId="26" borderId="11" xfId="0" applyNumberFormat="1" applyFont="1" applyFill="1" applyBorder="1" applyAlignment="1">
      <alignment horizontal="center" vertical="center" wrapText="1"/>
    </xf>
    <xf numFmtId="4" fontId="24" fillId="26" borderId="11" xfId="0" applyNumberFormat="1" applyFont="1" applyFill="1" applyBorder="1" applyAlignment="1">
      <alignment horizontal="right" vertical="center" wrapText="1"/>
    </xf>
    <xf numFmtId="3" fontId="24" fillId="26" borderId="11" xfId="0" applyNumberFormat="1" applyFont="1" applyFill="1" applyBorder="1" applyAlignment="1">
      <alignment horizontal="right" vertical="center" wrapText="1"/>
    </xf>
    <xf numFmtId="3" fontId="24" fillId="28" borderId="11" xfId="0" applyNumberFormat="1" applyFont="1" applyFill="1" applyBorder="1" applyAlignment="1">
      <alignment horizontal="center" vertical="center" wrapText="1"/>
    </xf>
    <xf numFmtId="4" fontId="24" fillId="28" borderId="11" xfId="0" applyNumberFormat="1" applyFont="1" applyFill="1" applyBorder="1" applyAlignment="1">
      <alignment horizontal="right" vertical="center" wrapText="1"/>
    </xf>
    <xf numFmtId="3" fontId="24" fillId="28" borderId="11" xfId="0" applyNumberFormat="1" applyFont="1" applyFill="1" applyBorder="1" applyAlignment="1">
      <alignment horizontal="right" vertical="center" wrapText="1"/>
    </xf>
    <xf numFmtId="3" fontId="24" fillId="37" borderId="11" xfId="0" applyNumberFormat="1" applyFont="1" applyFill="1" applyBorder="1" applyAlignment="1">
      <alignment horizontal="center" vertical="center" wrapText="1"/>
    </xf>
    <xf numFmtId="4" fontId="24" fillId="37" borderId="11" xfId="0" applyNumberFormat="1" applyFont="1" applyFill="1" applyBorder="1" applyAlignment="1">
      <alignment horizontal="right" vertical="center" wrapText="1"/>
    </xf>
    <xf numFmtId="3" fontId="24" fillId="37" borderId="11" xfId="0" applyNumberFormat="1" applyFont="1" applyFill="1" applyBorder="1" applyAlignment="1">
      <alignment horizontal="right" vertical="center" wrapText="1"/>
    </xf>
    <xf numFmtId="3" fontId="24" fillId="30" borderId="11" xfId="0" applyNumberFormat="1" applyFont="1" applyFill="1" applyBorder="1" applyAlignment="1">
      <alignment horizontal="center" vertical="center" wrapText="1"/>
    </xf>
    <xf numFmtId="4" fontId="24" fillId="30" borderId="11" xfId="0" applyNumberFormat="1" applyFont="1" applyFill="1" applyBorder="1" applyAlignment="1">
      <alignment horizontal="right" vertical="center" wrapText="1"/>
    </xf>
    <xf numFmtId="3" fontId="24" fillId="30" borderId="11" xfId="0" applyNumberFormat="1" applyFont="1" applyFill="1" applyBorder="1" applyAlignment="1">
      <alignment horizontal="right" vertical="center" wrapText="1"/>
    </xf>
    <xf numFmtId="3" fontId="24" fillId="31" borderId="11" xfId="0" applyNumberFormat="1" applyFont="1" applyFill="1" applyBorder="1" applyAlignment="1">
      <alignment horizontal="center" vertical="center" wrapText="1"/>
    </xf>
    <xf numFmtId="4" fontId="24" fillId="31" borderId="11" xfId="0" applyNumberFormat="1" applyFont="1" applyFill="1" applyBorder="1" applyAlignment="1">
      <alignment horizontal="right" vertical="center" wrapText="1"/>
    </xf>
    <xf numFmtId="3" fontId="24" fillId="31" borderId="11" xfId="0" applyNumberFormat="1" applyFont="1" applyFill="1" applyBorder="1" applyAlignment="1">
      <alignment horizontal="right" vertical="center" wrapText="1"/>
    </xf>
    <xf numFmtId="2" fontId="22" fillId="25" borderId="11" xfId="0" applyNumberFormat="1" applyFont="1" applyFill="1" applyBorder="1" applyAlignment="1">
      <alignment horizontal="right" vertical="center" wrapText="1"/>
    </xf>
    <xf numFmtId="4" fontId="24" fillId="36" borderId="11" xfId="0" applyNumberFormat="1" applyFont="1" applyFill="1" applyBorder="1" applyAlignment="1">
      <alignment horizontal="right" vertical="center" wrapText="1"/>
    </xf>
    <xf numFmtId="4" fontId="24" fillId="39" borderId="11" xfId="0" applyNumberFormat="1" applyFont="1" applyFill="1" applyBorder="1" applyAlignment="1">
      <alignment horizontal="right" vertical="center" wrapText="1"/>
    </xf>
    <xf numFmtId="4" fontId="24" fillId="32" borderId="11" xfId="0" applyNumberFormat="1" applyFont="1" applyFill="1" applyBorder="1" applyAlignment="1">
      <alignment horizontal="right" vertical="center" wrapText="1"/>
    </xf>
    <xf numFmtId="4" fontId="24" fillId="40" borderId="11" xfId="0" applyNumberFormat="1" applyFont="1" applyFill="1" applyBorder="1" applyAlignment="1">
      <alignment horizontal="right" vertical="center" wrapText="1"/>
    </xf>
    <xf numFmtId="3" fontId="24" fillId="32" borderId="11" xfId="0" applyNumberFormat="1" applyFont="1" applyFill="1" applyBorder="1" applyAlignment="1">
      <alignment horizontal="center" vertical="center" wrapText="1"/>
    </xf>
    <xf numFmtId="3" fontId="24" fillId="32" borderId="11" xfId="0" applyNumberFormat="1" applyFont="1" applyFill="1" applyBorder="1" applyAlignment="1">
      <alignment horizontal="right" vertical="center" wrapText="1"/>
    </xf>
    <xf numFmtId="0" fontId="21" fillId="41" borderId="0" xfId="0" applyFont="1" applyFill="1" applyAlignment="1">
      <alignment/>
    </xf>
    <xf numFmtId="0" fontId="22" fillId="41" borderId="13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 wrapText="1"/>
    </xf>
    <xf numFmtId="0" fontId="22" fillId="41" borderId="13" xfId="0" applyFont="1" applyFill="1" applyBorder="1" applyAlignment="1">
      <alignment horizontal="left" vertical="center" wrapText="1"/>
    </xf>
    <xf numFmtId="0" fontId="26" fillId="41" borderId="11" xfId="0" applyFont="1" applyFill="1" applyBorder="1" applyAlignment="1">
      <alignment horizontal="left" vertical="center" wrapText="1"/>
    </xf>
    <xf numFmtId="0" fontId="24" fillId="41" borderId="13" xfId="0" applyFont="1" applyFill="1" applyBorder="1" applyAlignment="1">
      <alignment vertical="center" wrapText="1"/>
    </xf>
    <xf numFmtId="0" fontId="24" fillId="41" borderId="11" xfId="0" applyFont="1" applyFill="1" applyBorder="1" applyAlignment="1">
      <alignment horizontal="center" vertical="center" wrapText="1"/>
    </xf>
    <xf numFmtId="0" fontId="24" fillId="41" borderId="13" xfId="0" applyFont="1" applyFill="1" applyBorder="1" applyAlignment="1">
      <alignment horizontal="center" vertical="center" wrapText="1"/>
    </xf>
    <xf numFmtId="4" fontId="24" fillId="41" borderId="11" xfId="0" applyNumberFormat="1" applyFont="1" applyFill="1" applyBorder="1" applyAlignment="1">
      <alignment horizontal="right" vertical="center" wrapText="1"/>
    </xf>
    <xf numFmtId="0" fontId="21" fillId="41" borderId="11" xfId="0" applyFont="1" applyFill="1" applyBorder="1" applyAlignment="1">
      <alignment horizontal="center" vertical="center" wrapText="1"/>
    </xf>
    <xf numFmtId="0" fontId="22" fillId="41" borderId="13" xfId="0" applyFont="1" applyFill="1" applyBorder="1" applyAlignment="1">
      <alignment horizontal="center" vertical="center" wrapText="1"/>
    </xf>
    <xf numFmtId="14" fontId="22" fillId="41" borderId="13" xfId="0" applyNumberFormat="1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center" vertical="center"/>
    </xf>
    <xf numFmtId="14" fontId="24" fillId="41" borderId="10" xfId="0" applyNumberFormat="1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horizontal="center" vertical="center" wrapText="1"/>
    </xf>
    <xf numFmtId="3" fontId="23" fillId="41" borderId="11" xfId="0" applyNumberFormat="1" applyFont="1" applyFill="1" applyBorder="1" applyAlignment="1">
      <alignment horizontal="center" vertical="center"/>
    </xf>
    <xf numFmtId="2" fontId="22" fillId="41" borderId="11" xfId="0" applyNumberFormat="1" applyFont="1" applyFill="1" applyBorder="1" applyAlignment="1">
      <alignment horizontal="center" vertical="center"/>
    </xf>
    <xf numFmtId="4" fontId="22" fillId="41" borderId="11" xfId="0" applyNumberFormat="1" applyFont="1" applyFill="1" applyBorder="1" applyAlignment="1">
      <alignment horizontal="center" vertical="center"/>
    </xf>
    <xf numFmtId="1" fontId="23" fillId="41" borderId="11" xfId="62" applyNumberFormat="1" applyFont="1" applyFill="1" applyBorder="1" applyAlignment="1">
      <alignment horizontal="center" vertical="center"/>
    </xf>
    <xf numFmtId="3" fontId="22" fillId="41" borderId="11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63" fillId="41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/>
    </xf>
    <xf numFmtId="0" fontId="63" fillId="32" borderId="11" xfId="0" applyFont="1" applyFill="1" applyBorder="1" applyAlignment="1">
      <alignment horizontal="center" vertical="center" wrapText="1"/>
    </xf>
    <xf numFmtId="0" fontId="63" fillId="32" borderId="11" xfId="0" applyFont="1" applyFill="1" applyBorder="1" applyAlignment="1">
      <alignment horizontal="center" vertical="center"/>
    </xf>
    <xf numFmtId="0" fontId="63" fillId="40" borderId="11" xfId="0" applyFont="1" applyFill="1" applyBorder="1" applyAlignment="1">
      <alignment horizontal="center" vertical="center"/>
    </xf>
    <xf numFmtId="3" fontId="64" fillId="26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2" fontId="22" fillId="36" borderId="11" xfId="0" applyNumberFormat="1" applyFont="1" applyFill="1" applyBorder="1" applyAlignment="1">
      <alignment horizontal="center" vertical="center" wrapText="1"/>
    </xf>
    <xf numFmtId="2" fontId="22" fillId="39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0" fontId="20" fillId="24" borderId="0" xfId="0" applyFont="1" applyFill="1" applyAlignment="1">
      <alignment vertical="top"/>
    </xf>
    <xf numFmtId="0" fontId="23" fillId="24" borderId="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2" fontId="23" fillId="24" borderId="11" xfId="62" applyNumberFormat="1" applyFont="1" applyFill="1" applyBorder="1" applyAlignment="1">
      <alignment horizontal="center" vertical="center" wrapText="1"/>
    </xf>
    <xf numFmtId="0" fontId="55" fillId="24" borderId="0" xfId="0" applyFont="1" applyFill="1" applyAlignment="1">
      <alignment horizontal="center" wrapText="1"/>
    </xf>
    <xf numFmtId="0" fontId="60" fillId="24" borderId="0" xfId="0" applyFont="1" applyFill="1" applyAlignment="1">
      <alignment horizontal="left" vertical="center"/>
    </xf>
    <xf numFmtId="3" fontId="23" fillId="24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54" fillId="24" borderId="0" xfId="0" applyFont="1" applyFill="1" applyBorder="1" applyAlignment="1">
      <alignment horizontal="center" vertical="center"/>
    </xf>
    <xf numFmtId="0" fontId="57" fillId="24" borderId="0" xfId="0" applyFont="1" applyFill="1" applyAlignment="1">
      <alignment horizontal="center"/>
    </xf>
    <xf numFmtId="0" fontId="57" fillId="24" borderId="0" xfId="0" applyFont="1" applyFill="1" applyAlignment="1">
      <alignment horizontal="center" vertical="center"/>
    </xf>
    <xf numFmtId="0" fontId="57" fillId="24" borderId="0" xfId="0" applyFont="1" applyFill="1" applyBorder="1" applyAlignment="1">
      <alignment horizontal="center"/>
    </xf>
    <xf numFmtId="0" fontId="58" fillId="24" borderId="0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 vertical="center"/>
    </xf>
    <xf numFmtId="0" fontId="31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21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19" fillId="25" borderId="17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 wrapText="1"/>
    </xf>
    <xf numFmtId="0" fontId="19" fillId="25" borderId="19" xfId="0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wrapText="1"/>
    </xf>
    <xf numFmtId="0" fontId="28" fillId="25" borderId="0" xfId="0" applyFont="1" applyFill="1" applyAlignment="1">
      <alignment horizontal="left" vertical="center"/>
    </xf>
    <xf numFmtId="3" fontId="23" fillId="25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"/>
  <sheetViews>
    <sheetView view="pageBreakPreview" zoomScale="85" zoomScaleSheetLayoutView="85" zoomScalePageLayoutView="0" workbookViewId="0" topLeftCell="A7">
      <selection activeCell="L21" sqref="L21"/>
    </sheetView>
  </sheetViews>
  <sheetFormatPr defaultColWidth="9.140625" defaultRowHeight="15"/>
  <cols>
    <col min="1" max="1" width="3.140625" style="163" customWidth="1"/>
    <col min="2" max="2" width="6.28125" style="167" customWidth="1"/>
    <col min="3" max="3" width="23.00390625" style="163" customWidth="1"/>
    <col min="4" max="4" width="32.57421875" style="163" customWidth="1"/>
    <col min="5" max="5" width="24.140625" style="163" customWidth="1"/>
    <col min="6" max="6" width="39.8515625" style="163" customWidth="1"/>
    <col min="7" max="8" width="8.8515625" style="167" customWidth="1"/>
    <col min="9" max="9" width="16.7109375" style="167" customWidth="1"/>
    <col min="10" max="10" width="11.00390625" style="167" customWidth="1"/>
    <col min="11" max="11" width="12.57421875" style="167" customWidth="1"/>
    <col min="12" max="12" width="12.140625" style="167" customWidth="1"/>
    <col min="13" max="13" width="5.7109375" style="167" customWidth="1"/>
    <col min="14" max="14" width="8.8515625" style="167" customWidth="1"/>
    <col min="15" max="15" width="5.7109375" style="167" customWidth="1"/>
    <col min="16" max="16" width="8.8515625" style="167" customWidth="1"/>
    <col min="17" max="17" width="5.7109375" style="167" customWidth="1"/>
    <col min="18" max="18" width="8.8515625" style="167" customWidth="1"/>
    <col min="19" max="19" width="15.8515625" style="167" customWidth="1"/>
    <col min="20" max="21" width="15.8515625" style="358" customWidth="1"/>
    <col min="22" max="23" width="15.8515625" style="163" customWidth="1"/>
    <col min="24" max="24" width="12.57421875" style="163" customWidth="1"/>
    <col min="25" max="25" width="13.00390625" style="163" customWidth="1"/>
    <col min="26" max="26" width="8.7109375" style="163" customWidth="1"/>
    <col min="27" max="27" width="13.140625" style="163" customWidth="1"/>
    <col min="28" max="28" width="10.57421875" style="359" customWidth="1"/>
    <col min="29" max="29" width="13.00390625" style="163" customWidth="1"/>
    <col min="30" max="30" width="9.57421875" style="163" customWidth="1"/>
    <col min="31" max="31" width="11.57421875" style="163" customWidth="1"/>
    <col min="32" max="32" width="9.28125" style="163" customWidth="1"/>
    <col min="33" max="33" width="14.421875" style="163" customWidth="1"/>
    <col min="34" max="34" width="10.57421875" style="163" customWidth="1"/>
    <col min="35" max="35" width="13.00390625" style="163" customWidth="1"/>
    <col min="36" max="36" width="10.57421875" style="359" customWidth="1"/>
    <col min="37" max="37" width="14.140625" style="360" customWidth="1"/>
    <col min="38" max="38" width="10.57421875" style="359" customWidth="1"/>
    <col min="39" max="39" width="13.00390625" style="163" customWidth="1"/>
    <col min="40" max="40" width="16.00390625" style="361" customWidth="1"/>
    <col min="41" max="41" width="14.7109375" style="163" customWidth="1"/>
    <col min="42" max="42" width="11.57421875" style="362" customWidth="1"/>
    <col min="43" max="43" width="13.00390625" style="363" customWidth="1"/>
    <col min="44" max="44" width="14.8515625" style="167" customWidth="1"/>
    <col min="45" max="45" width="15.00390625" style="167" customWidth="1"/>
    <col min="46" max="46" width="10.57421875" style="363" customWidth="1"/>
    <col min="47" max="47" width="14.421875" style="167" customWidth="1"/>
    <col min="48" max="48" width="10.57421875" style="167" customWidth="1"/>
    <col min="49" max="49" width="11.28125" style="167" customWidth="1"/>
    <col min="50" max="50" width="12.00390625" style="167" customWidth="1"/>
    <col min="51" max="51" width="8.421875" style="167" customWidth="1"/>
    <col min="52" max="52" width="12.140625" style="167" customWidth="1"/>
    <col min="53" max="53" width="11.57421875" style="167" customWidth="1"/>
    <col min="54" max="54" width="14.421875" style="163" customWidth="1"/>
    <col min="55" max="55" width="5.7109375" style="163" customWidth="1"/>
    <col min="56" max="56" width="9.140625" style="163" customWidth="1"/>
    <col min="57" max="16384" width="9.140625" style="163" customWidth="1"/>
  </cols>
  <sheetData>
    <row r="1" spans="2:53" s="160" customFormat="1" ht="21.75" customHeight="1">
      <c r="B1" s="275"/>
      <c r="E1" s="276"/>
      <c r="F1" s="276"/>
      <c r="G1" s="275"/>
      <c r="H1" s="275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5"/>
      <c r="U1" s="275"/>
      <c r="V1" s="276"/>
      <c r="W1" s="276"/>
      <c r="AB1" s="277"/>
      <c r="AJ1" s="277"/>
      <c r="AK1" s="278"/>
      <c r="AL1" s="279" t="s">
        <v>0</v>
      </c>
      <c r="AN1" s="280"/>
      <c r="AP1" s="277"/>
      <c r="AQ1" s="281"/>
      <c r="AT1" s="277"/>
      <c r="AV1" s="161"/>
      <c r="AW1" s="161"/>
      <c r="AX1" s="161"/>
      <c r="AY1" s="161"/>
      <c r="AZ1" s="161"/>
      <c r="BA1" s="161"/>
    </row>
    <row r="2" spans="2:53" s="160" customFormat="1" ht="15" customHeight="1">
      <c r="B2" s="275"/>
      <c r="E2" s="276"/>
      <c r="F2" s="276"/>
      <c r="G2" s="275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5"/>
      <c r="U2" s="275"/>
      <c r="V2" s="276"/>
      <c r="W2" s="276"/>
      <c r="AB2" s="277"/>
      <c r="AJ2" s="277"/>
      <c r="AK2" s="278"/>
      <c r="AL2" s="277" t="s">
        <v>1</v>
      </c>
      <c r="AN2" s="280"/>
      <c r="AP2" s="277"/>
      <c r="AQ2" s="281"/>
      <c r="AT2" s="277"/>
      <c r="AV2" s="161"/>
      <c r="AW2" s="161"/>
      <c r="AX2" s="161"/>
      <c r="AY2" s="161"/>
      <c r="AZ2" s="161"/>
      <c r="BA2" s="161"/>
    </row>
    <row r="3" spans="2:53" s="160" customFormat="1" ht="15.75">
      <c r="B3" s="275"/>
      <c r="E3" s="276"/>
      <c r="F3" s="276"/>
      <c r="G3" s="275"/>
      <c r="H3" s="275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5"/>
      <c r="U3" s="275"/>
      <c r="V3" s="276"/>
      <c r="W3" s="276"/>
      <c r="AB3" s="277"/>
      <c r="AJ3" s="277"/>
      <c r="AK3" s="278"/>
      <c r="AL3" s="277" t="s">
        <v>2</v>
      </c>
      <c r="AN3" s="280"/>
      <c r="AP3" s="277"/>
      <c r="AQ3" s="281"/>
      <c r="AT3" s="277"/>
      <c r="AV3" s="161"/>
      <c r="AW3" s="161"/>
      <c r="AX3" s="161"/>
      <c r="AY3" s="161"/>
      <c r="AZ3" s="161"/>
      <c r="BA3" s="161"/>
    </row>
    <row r="4" spans="2:53" s="160" customFormat="1" ht="15.75">
      <c r="B4" s="275"/>
      <c r="E4" s="276"/>
      <c r="F4" s="276"/>
      <c r="G4" s="275"/>
      <c r="H4" s="275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5"/>
      <c r="U4" s="275"/>
      <c r="V4" s="276"/>
      <c r="W4" s="276"/>
      <c r="AB4" s="277"/>
      <c r="AJ4" s="277"/>
      <c r="AK4" s="278"/>
      <c r="AL4" s="277" t="s">
        <v>3</v>
      </c>
      <c r="AN4" s="280"/>
      <c r="AP4" s="277"/>
      <c r="AQ4" s="281"/>
      <c r="AT4" s="277"/>
      <c r="AV4" s="161"/>
      <c r="AW4" s="161"/>
      <c r="AX4" s="161"/>
      <c r="AY4" s="161"/>
      <c r="AZ4" s="161"/>
      <c r="BA4" s="161"/>
    </row>
    <row r="5" spans="2:53" s="160" customFormat="1" ht="15.75" hidden="1">
      <c r="B5" s="275"/>
      <c r="E5" s="276"/>
      <c r="F5" s="276"/>
      <c r="G5" s="275"/>
      <c r="H5" s="275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5"/>
      <c r="U5" s="275"/>
      <c r="V5" s="276"/>
      <c r="W5" s="276"/>
      <c r="AB5" s="277"/>
      <c r="AJ5" s="277"/>
      <c r="AK5" s="278"/>
      <c r="AL5" s="277"/>
      <c r="AN5" s="280"/>
      <c r="AP5" s="277"/>
      <c r="AQ5" s="281"/>
      <c r="AT5" s="277"/>
      <c r="AV5" s="161"/>
      <c r="AW5" s="161"/>
      <c r="AX5" s="161"/>
      <c r="AY5" s="161"/>
      <c r="AZ5" s="161"/>
      <c r="BA5" s="161"/>
    </row>
    <row r="6" spans="2:53" s="160" customFormat="1" ht="18.75">
      <c r="B6" s="275"/>
      <c r="C6" s="641" t="s">
        <v>4</v>
      </c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/>
      <c r="AD6" s="641"/>
      <c r="AE6" s="641"/>
      <c r="AF6" s="641"/>
      <c r="AG6" s="641"/>
      <c r="AH6" s="641"/>
      <c r="AI6" s="641"/>
      <c r="AJ6" s="641"/>
      <c r="AK6" s="641"/>
      <c r="AL6" s="641"/>
      <c r="AM6" s="641"/>
      <c r="AN6" s="641"/>
      <c r="AO6" s="641"/>
      <c r="AP6" s="641"/>
      <c r="AQ6" s="641"/>
      <c r="AR6" s="641"/>
      <c r="AS6" s="641"/>
      <c r="AT6" s="641"/>
      <c r="AU6" s="641"/>
      <c r="AV6" s="641"/>
      <c r="AW6" s="641"/>
      <c r="AX6" s="641"/>
      <c r="AY6" s="282"/>
      <c r="AZ6" s="282"/>
      <c r="BA6" s="282"/>
    </row>
    <row r="7" spans="2:53" s="160" customFormat="1" ht="18.75">
      <c r="B7" s="275"/>
      <c r="C7" s="642" t="s">
        <v>5</v>
      </c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2"/>
      <c r="AC7" s="642"/>
      <c r="AD7" s="642"/>
      <c r="AE7" s="642"/>
      <c r="AF7" s="642"/>
      <c r="AG7" s="642"/>
      <c r="AH7" s="642"/>
      <c r="AI7" s="642"/>
      <c r="AJ7" s="642"/>
      <c r="AK7" s="642"/>
      <c r="AL7" s="642"/>
      <c r="AM7" s="642"/>
      <c r="AN7" s="642"/>
      <c r="AO7" s="642"/>
      <c r="AP7" s="642"/>
      <c r="AQ7" s="642"/>
      <c r="AR7" s="642"/>
      <c r="AS7" s="642"/>
      <c r="AT7" s="642"/>
      <c r="AU7" s="642"/>
      <c r="AV7" s="642"/>
      <c r="AW7" s="642"/>
      <c r="AX7" s="642"/>
      <c r="AY7" s="283"/>
      <c r="AZ7" s="283"/>
      <c r="BA7" s="283"/>
    </row>
    <row r="8" spans="2:53" s="160" customFormat="1" ht="18.75">
      <c r="B8" s="275"/>
      <c r="C8" s="642" t="s">
        <v>6</v>
      </c>
      <c r="D8" s="642"/>
      <c r="E8" s="642"/>
      <c r="F8" s="642"/>
      <c r="G8" s="642"/>
      <c r="H8" s="642"/>
      <c r="I8" s="642"/>
      <c r="J8" s="642"/>
      <c r="K8" s="642"/>
      <c r="L8" s="642"/>
      <c r="M8" s="642"/>
      <c r="N8" s="642"/>
      <c r="O8" s="642"/>
      <c r="P8" s="642"/>
      <c r="Q8" s="642"/>
      <c r="R8" s="642"/>
      <c r="S8" s="642"/>
      <c r="T8" s="642"/>
      <c r="U8" s="642"/>
      <c r="V8" s="642"/>
      <c r="W8" s="642"/>
      <c r="X8" s="642"/>
      <c r="Y8" s="642"/>
      <c r="Z8" s="642"/>
      <c r="AA8" s="642"/>
      <c r="AB8" s="642"/>
      <c r="AC8" s="642"/>
      <c r="AD8" s="642"/>
      <c r="AE8" s="642"/>
      <c r="AF8" s="642"/>
      <c r="AG8" s="642"/>
      <c r="AH8" s="642"/>
      <c r="AI8" s="642"/>
      <c r="AJ8" s="642"/>
      <c r="AK8" s="642"/>
      <c r="AL8" s="642"/>
      <c r="AM8" s="642"/>
      <c r="AN8" s="642"/>
      <c r="AO8" s="642"/>
      <c r="AP8" s="642"/>
      <c r="AQ8" s="642"/>
      <c r="AR8" s="642"/>
      <c r="AS8" s="642"/>
      <c r="AT8" s="642"/>
      <c r="AU8" s="642"/>
      <c r="AV8" s="642"/>
      <c r="AW8" s="642"/>
      <c r="AX8" s="642"/>
      <c r="AY8" s="283"/>
      <c r="AZ8" s="283"/>
      <c r="BA8" s="283"/>
    </row>
    <row r="9" spans="2:53" s="160" customFormat="1" ht="18.75">
      <c r="B9" s="284"/>
      <c r="C9" s="643" t="s">
        <v>82</v>
      </c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643"/>
      <c r="S9" s="643"/>
      <c r="T9" s="643"/>
      <c r="U9" s="643"/>
      <c r="V9" s="643"/>
      <c r="W9" s="643"/>
      <c r="X9" s="643"/>
      <c r="Y9" s="643"/>
      <c r="Z9" s="643"/>
      <c r="AA9" s="643"/>
      <c r="AB9" s="643"/>
      <c r="AC9" s="643"/>
      <c r="AD9" s="643"/>
      <c r="AE9" s="643"/>
      <c r="AF9" s="643"/>
      <c r="AG9" s="643"/>
      <c r="AH9" s="643"/>
      <c r="AI9" s="643"/>
      <c r="AJ9" s="643"/>
      <c r="AK9" s="643"/>
      <c r="AL9" s="643"/>
      <c r="AM9" s="643"/>
      <c r="AN9" s="643"/>
      <c r="AO9" s="643"/>
      <c r="AP9" s="643"/>
      <c r="AQ9" s="643"/>
      <c r="AR9" s="643"/>
      <c r="AS9" s="643"/>
      <c r="AT9" s="643"/>
      <c r="AU9" s="643"/>
      <c r="AV9" s="643"/>
      <c r="AW9" s="643"/>
      <c r="AX9" s="643"/>
      <c r="AY9" s="285"/>
      <c r="AZ9" s="285"/>
      <c r="BA9" s="285"/>
    </row>
    <row r="10" spans="2:53" s="160" customFormat="1" ht="18.75">
      <c r="B10" s="284"/>
      <c r="C10" s="643" t="s">
        <v>85</v>
      </c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643"/>
      <c r="AL10" s="643"/>
      <c r="AM10" s="643"/>
      <c r="AN10" s="643"/>
      <c r="AO10" s="643"/>
      <c r="AP10" s="643"/>
      <c r="AQ10" s="643"/>
      <c r="AR10" s="643"/>
      <c r="AS10" s="643"/>
      <c r="AT10" s="643"/>
      <c r="AU10" s="643"/>
      <c r="AV10" s="643"/>
      <c r="AW10" s="643"/>
      <c r="AX10" s="643"/>
      <c r="AY10" s="285"/>
      <c r="AZ10" s="285"/>
      <c r="BA10" s="285"/>
    </row>
    <row r="11" spans="2:53" s="162" customFormat="1" ht="18.75">
      <c r="B11" s="286"/>
      <c r="C11" s="644" t="s">
        <v>7</v>
      </c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4"/>
      <c r="Z11" s="644"/>
      <c r="AA11" s="644"/>
      <c r="AB11" s="644"/>
      <c r="AC11" s="644"/>
      <c r="AD11" s="644"/>
      <c r="AE11" s="644"/>
      <c r="AF11" s="644"/>
      <c r="AG11" s="644"/>
      <c r="AH11" s="644"/>
      <c r="AI11" s="644"/>
      <c r="AJ11" s="644"/>
      <c r="AK11" s="644"/>
      <c r="AL11" s="644"/>
      <c r="AM11" s="644"/>
      <c r="AN11" s="644"/>
      <c r="AO11" s="644"/>
      <c r="AP11" s="644"/>
      <c r="AQ11" s="644"/>
      <c r="AR11" s="644"/>
      <c r="AS11" s="644"/>
      <c r="AT11" s="644"/>
      <c r="AU11" s="644"/>
      <c r="AV11" s="644"/>
      <c r="AW11" s="644"/>
      <c r="AX11" s="644"/>
      <c r="AY11" s="287"/>
      <c r="AZ11" s="287"/>
      <c r="BA11" s="287"/>
    </row>
    <row r="12" spans="3:53" ht="18.75" hidden="1"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9"/>
      <c r="AL12" s="288"/>
      <c r="AM12" s="288"/>
      <c r="AN12" s="290"/>
      <c r="AO12" s="288"/>
      <c r="AP12" s="164"/>
      <c r="AQ12" s="165"/>
      <c r="AR12" s="166"/>
      <c r="AS12" s="166"/>
      <c r="AT12" s="165"/>
      <c r="AU12" s="166"/>
      <c r="AV12" s="166"/>
      <c r="AW12" s="166"/>
      <c r="AX12" s="166"/>
      <c r="AY12" s="166"/>
      <c r="AZ12" s="166"/>
      <c r="BA12" s="166"/>
    </row>
    <row r="13" spans="3:53" ht="20.25" customHeight="1" hidden="1"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2"/>
      <c r="AL13" s="291"/>
      <c r="AM13" s="291"/>
      <c r="AN13" s="293"/>
      <c r="AO13" s="291"/>
      <c r="AP13" s="640"/>
      <c r="AQ13" s="640"/>
      <c r="AR13" s="640"/>
      <c r="AS13" s="640"/>
      <c r="AT13" s="640"/>
      <c r="AU13" s="640"/>
      <c r="AV13" s="640"/>
      <c r="AW13" s="640"/>
      <c r="AX13" s="640"/>
      <c r="AY13" s="271"/>
      <c r="AZ13" s="271"/>
      <c r="BA13" s="271"/>
    </row>
    <row r="14" spans="2:55" s="167" customFormat="1" ht="29.25" customHeight="1">
      <c r="B14" s="633" t="s">
        <v>8</v>
      </c>
      <c r="C14" s="626" t="s">
        <v>9</v>
      </c>
      <c r="D14" s="626" t="s">
        <v>10</v>
      </c>
      <c r="E14" s="636" t="s">
        <v>11</v>
      </c>
      <c r="F14" s="636" t="s">
        <v>102</v>
      </c>
      <c r="G14" s="639" t="s">
        <v>12</v>
      </c>
      <c r="H14" s="639" t="s">
        <v>13</v>
      </c>
      <c r="I14" s="636" t="s">
        <v>14</v>
      </c>
      <c r="J14" s="636" t="s">
        <v>15</v>
      </c>
      <c r="K14" s="636" t="s">
        <v>16</v>
      </c>
      <c r="L14" s="624" t="s">
        <v>119</v>
      </c>
      <c r="M14" s="624"/>
      <c r="N14" s="618" t="s">
        <v>17</v>
      </c>
      <c r="O14" s="625"/>
      <c r="P14" s="625"/>
      <c r="Q14" s="625"/>
      <c r="R14" s="625"/>
      <c r="S14" s="619"/>
      <c r="T14" s="626" t="s">
        <v>18</v>
      </c>
      <c r="U14" s="626" t="s">
        <v>19</v>
      </c>
      <c r="V14" s="629" t="s">
        <v>20</v>
      </c>
      <c r="W14" s="630"/>
      <c r="X14" s="620" t="s">
        <v>21</v>
      </c>
      <c r="Y14" s="621"/>
      <c r="Z14" s="620" t="s">
        <v>22</v>
      </c>
      <c r="AA14" s="621"/>
      <c r="AB14" s="606" t="s">
        <v>23</v>
      </c>
      <c r="AC14" s="606"/>
      <c r="AD14" s="614" t="s">
        <v>71</v>
      </c>
      <c r="AE14" s="614"/>
      <c r="AF14" s="614"/>
      <c r="AG14" s="614"/>
      <c r="AH14" s="614"/>
      <c r="AI14" s="614"/>
      <c r="AJ14" s="606" t="s">
        <v>91</v>
      </c>
      <c r="AK14" s="606"/>
      <c r="AL14" s="606" t="s">
        <v>92</v>
      </c>
      <c r="AM14" s="606"/>
      <c r="AN14" s="606" t="s">
        <v>93</v>
      </c>
      <c r="AO14" s="606"/>
      <c r="AP14" s="613" t="s">
        <v>24</v>
      </c>
      <c r="AQ14" s="606" t="s">
        <v>25</v>
      </c>
      <c r="AR14" s="614"/>
      <c r="AS14" s="614"/>
      <c r="AT14" s="615" t="s">
        <v>94</v>
      </c>
      <c r="AU14" s="616"/>
      <c r="AV14" s="616"/>
      <c r="AW14" s="616"/>
      <c r="AX14" s="616"/>
      <c r="AY14" s="616"/>
      <c r="AZ14" s="616"/>
      <c r="BA14" s="617"/>
      <c r="BB14" s="1"/>
      <c r="BC14" s="1"/>
    </row>
    <row r="15" spans="2:55" s="167" customFormat="1" ht="33.75" customHeight="1">
      <c r="B15" s="634"/>
      <c r="C15" s="627"/>
      <c r="D15" s="627"/>
      <c r="E15" s="637"/>
      <c r="F15" s="637"/>
      <c r="G15" s="639"/>
      <c r="H15" s="639"/>
      <c r="I15" s="637"/>
      <c r="J15" s="637"/>
      <c r="K15" s="637"/>
      <c r="L15" s="624"/>
      <c r="M15" s="624"/>
      <c r="N15" s="618" t="s">
        <v>26</v>
      </c>
      <c r="O15" s="619"/>
      <c r="P15" s="618" t="s">
        <v>86</v>
      </c>
      <c r="Q15" s="619"/>
      <c r="R15" s="618" t="s">
        <v>87</v>
      </c>
      <c r="S15" s="619"/>
      <c r="T15" s="627"/>
      <c r="U15" s="627"/>
      <c r="V15" s="631"/>
      <c r="W15" s="632"/>
      <c r="X15" s="622"/>
      <c r="Y15" s="623"/>
      <c r="Z15" s="622"/>
      <c r="AA15" s="623"/>
      <c r="AB15" s="606"/>
      <c r="AC15" s="606"/>
      <c r="AD15" s="624" t="s">
        <v>88</v>
      </c>
      <c r="AE15" s="624"/>
      <c r="AF15" s="624" t="s">
        <v>89</v>
      </c>
      <c r="AG15" s="624"/>
      <c r="AH15" s="624" t="s">
        <v>90</v>
      </c>
      <c r="AI15" s="624"/>
      <c r="AJ15" s="606"/>
      <c r="AK15" s="606"/>
      <c r="AL15" s="606"/>
      <c r="AM15" s="606"/>
      <c r="AN15" s="606"/>
      <c r="AO15" s="606"/>
      <c r="AP15" s="613"/>
      <c r="AQ15" s="614"/>
      <c r="AR15" s="614"/>
      <c r="AS15" s="614"/>
      <c r="AT15" s="614" t="s">
        <v>27</v>
      </c>
      <c r="AU15" s="614"/>
      <c r="AV15" s="607" t="s">
        <v>28</v>
      </c>
      <c r="AW15" s="608"/>
      <c r="AX15" s="608"/>
      <c r="AY15" s="608"/>
      <c r="AZ15" s="608"/>
      <c r="BA15" s="609"/>
      <c r="BB15" s="1"/>
      <c r="BC15" s="1"/>
    </row>
    <row r="16" spans="2:55" ht="48">
      <c r="B16" s="635"/>
      <c r="C16" s="628"/>
      <c r="D16" s="628"/>
      <c r="E16" s="638"/>
      <c r="F16" s="638"/>
      <c r="G16" s="639"/>
      <c r="H16" s="639"/>
      <c r="I16" s="638"/>
      <c r="J16" s="638"/>
      <c r="K16" s="638"/>
      <c r="L16" s="294" t="s">
        <v>29</v>
      </c>
      <c r="M16" s="294" t="s">
        <v>30</v>
      </c>
      <c r="N16" s="294" t="s">
        <v>29</v>
      </c>
      <c r="O16" s="294" t="s">
        <v>30</v>
      </c>
      <c r="P16" s="294" t="s">
        <v>29</v>
      </c>
      <c r="Q16" s="294" t="s">
        <v>30</v>
      </c>
      <c r="R16" s="294" t="s">
        <v>29</v>
      </c>
      <c r="S16" s="294" t="s">
        <v>30</v>
      </c>
      <c r="T16" s="628"/>
      <c r="U16" s="628"/>
      <c r="V16" s="2" t="s">
        <v>31</v>
      </c>
      <c r="W16" s="2" t="s">
        <v>32</v>
      </c>
      <c r="X16" s="2" t="s">
        <v>31</v>
      </c>
      <c r="Y16" s="2" t="s">
        <v>32</v>
      </c>
      <c r="Z16" s="2" t="s">
        <v>31</v>
      </c>
      <c r="AA16" s="2" t="s">
        <v>32</v>
      </c>
      <c r="AB16" s="273" t="s">
        <v>33</v>
      </c>
      <c r="AC16" s="273" t="s">
        <v>34</v>
      </c>
      <c r="AD16" s="295" t="s">
        <v>29</v>
      </c>
      <c r="AE16" s="295" t="s">
        <v>30</v>
      </c>
      <c r="AF16" s="295" t="s">
        <v>29</v>
      </c>
      <c r="AG16" s="295" t="s">
        <v>30</v>
      </c>
      <c r="AH16" s="295" t="s">
        <v>29</v>
      </c>
      <c r="AI16" s="295" t="s">
        <v>30</v>
      </c>
      <c r="AJ16" s="273" t="s">
        <v>33</v>
      </c>
      <c r="AK16" s="176" t="s">
        <v>34</v>
      </c>
      <c r="AL16" s="273" t="s">
        <v>33</v>
      </c>
      <c r="AM16" s="273" t="s">
        <v>34</v>
      </c>
      <c r="AN16" s="296" t="s">
        <v>33</v>
      </c>
      <c r="AO16" s="272" t="s">
        <v>34</v>
      </c>
      <c r="AP16" s="3" t="s">
        <v>33</v>
      </c>
      <c r="AQ16" s="273" t="s">
        <v>33</v>
      </c>
      <c r="AR16" s="273" t="s">
        <v>35</v>
      </c>
      <c r="AS16" s="273" t="s">
        <v>34</v>
      </c>
      <c r="AT16" s="273" t="s">
        <v>33</v>
      </c>
      <c r="AU16" s="273" t="s">
        <v>34</v>
      </c>
      <c r="AV16" s="158" t="s">
        <v>81</v>
      </c>
      <c r="AW16" s="159" t="s">
        <v>36</v>
      </c>
      <c r="AX16" s="159" t="s">
        <v>37</v>
      </c>
      <c r="AY16" s="159" t="s">
        <v>67</v>
      </c>
      <c r="AZ16" s="159" t="s">
        <v>66</v>
      </c>
      <c r="BA16" s="159" t="s">
        <v>38</v>
      </c>
      <c r="BB16" s="4"/>
      <c r="BC16" s="4"/>
    </row>
    <row r="17" spans="2:55" s="386" customFormat="1" ht="15.75">
      <c r="B17" s="365">
        <v>1</v>
      </c>
      <c r="C17" s="366" t="s">
        <v>44</v>
      </c>
      <c r="D17" s="367" t="s">
        <v>75</v>
      </c>
      <c r="E17" s="368" t="s">
        <v>100</v>
      </c>
      <c r="F17" s="368" t="s">
        <v>104</v>
      </c>
      <c r="G17" s="369" t="s">
        <v>47</v>
      </c>
      <c r="H17" s="369" t="s">
        <v>47</v>
      </c>
      <c r="I17" s="370"/>
      <c r="J17" s="370"/>
      <c r="K17" s="370"/>
      <c r="L17" s="371"/>
      <c r="M17" s="371"/>
      <c r="N17" s="371"/>
      <c r="O17" s="371"/>
      <c r="P17" s="371"/>
      <c r="Q17" s="371"/>
      <c r="R17" s="371"/>
      <c r="S17" s="371"/>
      <c r="T17" s="372">
        <v>3098197</v>
      </c>
      <c r="U17" s="373">
        <v>44104</v>
      </c>
      <c r="V17" s="374">
        <v>1571</v>
      </c>
      <c r="W17" s="375">
        <v>43654</v>
      </c>
      <c r="X17" s="374" t="s">
        <v>76</v>
      </c>
      <c r="Y17" s="375">
        <v>43668</v>
      </c>
      <c r="Z17" s="374"/>
      <c r="AA17" s="374"/>
      <c r="AB17" s="376">
        <v>1064</v>
      </c>
      <c r="AC17" s="376">
        <v>33679.779999544</v>
      </c>
      <c r="AD17" s="377"/>
      <c r="AE17" s="377"/>
      <c r="AF17" s="377"/>
      <c r="AG17" s="377"/>
      <c r="AH17" s="377"/>
      <c r="AI17" s="377"/>
      <c r="AJ17" s="378">
        <f aca="true" t="shared" si="0" ref="AJ17:AK19">AD17+AF17+AH17</f>
        <v>0</v>
      </c>
      <c r="AK17" s="379">
        <f t="shared" si="0"/>
        <v>0</v>
      </c>
      <c r="AL17" s="378">
        <f aca="true" t="shared" si="1" ref="AL17:AL30">AB17+AJ17-AT17</f>
        <v>588</v>
      </c>
      <c r="AM17" s="380">
        <f>AC17+AG17-AS17</f>
        <v>15067.269999796</v>
      </c>
      <c r="AN17" s="381">
        <v>1064</v>
      </c>
      <c r="AO17" s="380">
        <v>33679.779999544</v>
      </c>
      <c r="AP17" s="382"/>
      <c r="AQ17" s="376">
        <v>588</v>
      </c>
      <c r="AR17" s="376">
        <v>31.653928571</v>
      </c>
      <c r="AS17" s="376">
        <f>AR17*AQ17</f>
        <v>18612.509999748</v>
      </c>
      <c r="AT17" s="378">
        <f aca="true" t="shared" si="2" ref="AT17:AT27">SUM(AV17:BA17)</f>
        <v>476</v>
      </c>
      <c r="AU17" s="380">
        <f aca="true" t="shared" si="3" ref="AU17:AU27">AR17*AT17</f>
        <v>15067.269999796</v>
      </c>
      <c r="AV17" s="383">
        <f>1064-1064</f>
        <v>0</v>
      </c>
      <c r="AW17" s="366"/>
      <c r="AX17" s="384">
        <f>1064-588</f>
        <v>476</v>
      </c>
      <c r="AY17" s="366"/>
      <c r="AZ17" s="366"/>
      <c r="BA17" s="366"/>
      <c r="BB17" s="385"/>
      <c r="BC17" s="385"/>
    </row>
    <row r="18" spans="2:55" s="386" customFormat="1" ht="15.75">
      <c r="B18" s="365">
        <v>2</v>
      </c>
      <c r="C18" s="366" t="s">
        <v>44</v>
      </c>
      <c r="D18" s="367" t="s">
        <v>95</v>
      </c>
      <c r="E18" s="368" t="s">
        <v>100</v>
      </c>
      <c r="F18" s="368" t="s">
        <v>104</v>
      </c>
      <c r="G18" s="369" t="s">
        <v>47</v>
      </c>
      <c r="H18" s="369" t="s">
        <v>47</v>
      </c>
      <c r="I18" s="370"/>
      <c r="J18" s="370"/>
      <c r="K18" s="370"/>
      <c r="L18" s="371"/>
      <c r="M18" s="371"/>
      <c r="N18" s="371"/>
      <c r="O18" s="371"/>
      <c r="P18" s="371"/>
      <c r="Q18" s="371"/>
      <c r="R18" s="371"/>
      <c r="S18" s="371"/>
      <c r="T18" s="372">
        <v>3106643</v>
      </c>
      <c r="U18" s="373">
        <v>44377</v>
      </c>
      <c r="V18" s="374">
        <v>79</v>
      </c>
      <c r="W18" s="375">
        <v>43845</v>
      </c>
      <c r="X18" s="374" t="s">
        <v>96</v>
      </c>
      <c r="Y18" s="375">
        <v>43857</v>
      </c>
      <c r="Z18" s="374"/>
      <c r="AA18" s="374"/>
      <c r="AB18" s="376">
        <v>0</v>
      </c>
      <c r="AC18" s="376">
        <v>0</v>
      </c>
      <c r="AD18" s="377">
        <v>588</v>
      </c>
      <c r="AE18" s="377">
        <v>18847.29</v>
      </c>
      <c r="AF18" s="377"/>
      <c r="AG18" s="377"/>
      <c r="AH18" s="377"/>
      <c r="AI18" s="377"/>
      <c r="AJ18" s="378">
        <f t="shared" si="0"/>
        <v>588</v>
      </c>
      <c r="AK18" s="379">
        <f t="shared" si="0"/>
        <v>18847.29</v>
      </c>
      <c r="AL18" s="378">
        <f t="shared" si="1"/>
        <v>0</v>
      </c>
      <c r="AM18" s="380">
        <f>AC18+AG18-AS18</f>
        <v>0</v>
      </c>
      <c r="AN18" s="381">
        <v>0</v>
      </c>
      <c r="AO18" s="380">
        <v>0</v>
      </c>
      <c r="AP18" s="382">
        <v>588</v>
      </c>
      <c r="AQ18" s="376"/>
      <c r="AR18" s="376">
        <v>32.053214286</v>
      </c>
      <c r="AS18" s="376">
        <f>AR18*AQ18</f>
        <v>0</v>
      </c>
      <c r="AT18" s="378">
        <f t="shared" si="2"/>
        <v>588</v>
      </c>
      <c r="AU18" s="380">
        <f t="shared" si="3"/>
        <v>18847.290000168</v>
      </c>
      <c r="AV18" s="383">
        <v>588</v>
      </c>
      <c r="AW18" s="366"/>
      <c r="AX18" s="384"/>
      <c r="AY18" s="366"/>
      <c r="AZ18" s="366"/>
      <c r="BA18" s="366"/>
      <c r="BB18" s="385"/>
      <c r="BC18" s="385"/>
    </row>
    <row r="19" spans="2:55" s="408" customFormat="1" ht="24">
      <c r="B19" s="387">
        <v>3</v>
      </c>
      <c r="C19" s="388" t="s">
        <v>44</v>
      </c>
      <c r="D19" s="389" t="s">
        <v>41</v>
      </c>
      <c r="E19" s="390" t="s">
        <v>42</v>
      </c>
      <c r="F19" s="390" t="s">
        <v>103</v>
      </c>
      <c r="G19" s="391" t="s">
        <v>43</v>
      </c>
      <c r="H19" s="391" t="s">
        <v>43</v>
      </c>
      <c r="I19" s="392"/>
      <c r="J19" s="392"/>
      <c r="K19" s="393"/>
      <c r="L19" s="394"/>
      <c r="M19" s="393"/>
      <c r="N19" s="392"/>
      <c r="O19" s="395"/>
      <c r="P19" s="392"/>
      <c r="Q19" s="395"/>
      <c r="R19" s="392"/>
      <c r="S19" s="395"/>
      <c r="T19" s="388" t="s">
        <v>45</v>
      </c>
      <c r="U19" s="396">
        <v>44682</v>
      </c>
      <c r="V19" s="397">
        <v>1865</v>
      </c>
      <c r="W19" s="398">
        <v>43390</v>
      </c>
      <c r="X19" s="397" t="s">
        <v>46</v>
      </c>
      <c r="Y19" s="399">
        <v>43395</v>
      </c>
      <c r="Z19" s="397"/>
      <c r="AA19" s="399"/>
      <c r="AB19" s="400">
        <v>3</v>
      </c>
      <c r="AC19" s="401">
        <v>8009.88</v>
      </c>
      <c r="AD19" s="402"/>
      <c r="AE19" s="401"/>
      <c r="AF19" s="402"/>
      <c r="AG19" s="401"/>
      <c r="AH19" s="402"/>
      <c r="AI19" s="401"/>
      <c r="AJ19" s="400">
        <f t="shared" si="0"/>
        <v>0</v>
      </c>
      <c r="AK19" s="403">
        <f t="shared" si="0"/>
        <v>0</v>
      </c>
      <c r="AL19" s="400">
        <f t="shared" si="1"/>
        <v>3</v>
      </c>
      <c r="AM19" s="401">
        <f aca="true" t="shared" si="4" ref="AM19:AM30">AC19+AK19-AU19</f>
        <v>8009.88</v>
      </c>
      <c r="AN19" s="404">
        <v>3</v>
      </c>
      <c r="AO19" s="401">
        <v>8009.88</v>
      </c>
      <c r="AP19" s="405"/>
      <c r="AQ19" s="400">
        <v>3</v>
      </c>
      <c r="AR19" s="401">
        <v>2669.96</v>
      </c>
      <c r="AS19" s="401">
        <f>AQ19*AR19</f>
        <v>8009.88</v>
      </c>
      <c r="AT19" s="400">
        <f t="shared" si="2"/>
        <v>0</v>
      </c>
      <c r="AU19" s="401">
        <f t="shared" si="3"/>
        <v>0</v>
      </c>
      <c r="AV19" s="400">
        <f>16-12-4</f>
        <v>0</v>
      </c>
      <c r="AW19" s="400">
        <v>0</v>
      </c>
      <c r="AX19" s="406">
        <f>4-1-3</f>
        <v>0</v>
      </c>
      <c r="AY19" s="400"/>
      <c r="AZ19" s="400"/>
      <c r="BA19" s="400"/>
      <c r="BB19" s="407">
        <f>AB19+AJ19-AL19</f>
        <v>0</v>
      </c>
      <c r="BC19" s="407">
        <f>BB19-AT19</f>
        <v>0</v>
      </c>
    </row>
    <row r="20" spans="2:55" s="364" customFormat="1" ht="15.75">
      <c r="B20" s="431">
        <v>4</v>
      </c>
      <c r="C20" s="80" t="s">
        <v>44</v>
      </c>
      <c r="D20" s="81" t="s">
        <v>68</v>
      </c>
      <c r="E20" s="432" t="s">
        <v>69</v>
      </c>
      <c r="F20" s="432" t="s">
        <v>104</v>
      </c>
      <c r="G20" s="83" t="s">
        <v>47</v>
      </c>
      <c r="H20" s="83" t="s">
        <v>47</v>
      </c>
      <c r="I20" s="84"/>
      <c r="J20" s="84"/>
      <c r="K20" s="85"/>
      <c r="L20" s="86"/>
      <c r="M20" s="85"/>
      <c r="N20" s="84"/>
      <c r="O20" s="87"/>
      <c r="P20" s="84"/>
      <c r="Q20" s="87"/>
      <c r="R20" s="84"/>
      <c r="S20" s="87"/>
      <c r="T20" s="80">
        <v>3093642</v>
      </c>
      <c r="U20" s="88">
        <v>44196</v>
      </c>
      <c r="V20" s="89">
        <v>1024</v>
      </c>
      <c r="W20" s="90">
        <v>43589</v>
      </c>
      <c r="X20" s="89" t="s">
        <v>70</v>
      </c>
      <c r="Y20" s="91">
        <v>43598</v>
      </c>
      <c r="Z20" s="89"/>
      <c r="AA20" s="91"/>
      <c r="AB20" s="92">
        <v>84</v>
      </c>
      <c r="AC20" s="93">
        <v>1632.630000036</v>
      </c>
      <c r="AD20" s="94"/>
      <c r="AE20" s="93"/>
      <c r="AF20" s="92"/>
      <c r="AG20" s="93"/>
      <c r="AH20" s="94"/>
      <c r="AI20" s="93"/>
      <c r="AJ20" s="92">
        <f aca="true" t="shared" si="5" ref="AJ20:AJ30">AD20+AF20+AH20</f>
        <v>0</v>
      </c>
      <c r="AK20" s="182">
        <f aca="true" t="shared" si="6" ref="AK20:AK27">AI20+AG20+AE20</f>
        <v>0</v>
      </c>
      <c r="AL20" s="92">
        <f t="shared" si="1"/>
        <v>84</v>
      </c>
      <c r="AM20" s="93">
        <f t="shared" si="4"/>
        <v>1632.630000036</v>
      </c>
      <c r="AN20" s="183">
        <v>84</v>
      </c>
      <c r="AO20" s="93">
        <v>1632.630000036</v>
      </c>
      <c r="AP20" s="95"/>
      <c r="AQ20" s="92">
        <v>84</v>
      </c>
      <c r="AR20" s="93">
        <v>19.436071429</v>
      </c>
      <c r="AS20" s="93">
        <f>AR20*AQ20</f>
        <v>1632.630000036</v>
      </c>
      <c r="AT20" s="92">
        <f t="shared" si="2"/>
        <v>0</v>
      </c>
      <c r="AU20" s="93">
        <f t="shared" si="3"/>
        <v>0</v>
      </c>
      <c r="AV20" s="92">
        <f>2156-1008-1148</f>
        <v>0</v>
      </c>
      <c r="AW20" s="92"/>
      <c r="AX20" s="433">
        <f>1008-168-336-364+1148-252-476-476-84</f>
        <v>0</v>
      </c>
      <c r="AY20" s="92"/>
      <c r="AZ20" s="92"/>
      <c r="BA20" s="92"/>
      <c r="BB20" s="96">
        <f>AB20+AJ20-AL20</f>
        <v>0</v>
      </c>
      <c r="BC20" s="96">
        <f>BB20-AT20</f>
        <v>0</v>
      </c>
    </row>
    <row r="21" spans="2:55" s="430" customFormat="1" ht="15.75">
      <c r="B21" s="409">
        <v>5</v>
      </c>
      <c r="C21" s="410" t="s">
        <v>44</v>
      </c>
      <c r="D21" s="411" t="s">
        <v>83</v>
      </c>
      <c r="E21" s="412" t="s">
        <v>101</v>
      </c>
      <c r="F21" s="412" t="s">
        <v>104</v>
      </c>
      <c r="G21" s="413" t="s">
        <v>47</v>
      </c>
      <c r="H21" s="413" t="s">
        <v>47</v>
      </c>
      <c r="I21" s="414"/>
      <c r="J21" s="414"/>
      <c r="K21" s="415"/>
      <c r="L21" s="416"/>
      <c r="M21" s="415"/>
      <c r="N21" s="414"/>
      <c r="O21" s="417"/>
      <c r="P21" s="414"/>
      <c r="Q21" s="417"/>
      <c r="R21" s="414"/>
      <c r="S21" s="417"/>
      <c r="T21" s="410">
        <v>3100242</v>
      </c>
      <c r="U21" s="418">
        <v>44316</v>
      </c>
      <c r="V21" s="419">
        <v>1569</v>
      </c>
      <c r="W21" s="420">
        <v>43654</v>
      </c>
      <c r="X21" s="419" t="s">
        <v>73</v>
      </c>
      <c r="Y21" s="421">
        <v>43668</v>
      </c>
      <c r="Z21" s="419"/>
      <c r="AA21" s="421"/>
      <c r="AB21" s="422">
        <v>308</v>
      </c>
      <c r="AC21" s="423">
        <v>28643.340000044</v>
      </c>
      <c r="AD21" s="424"/>
      <c r="AE21" s="423"/>
      <c r="AF21" s="422"/>
      <c r="AG21" s="423"/>
      <c r="AH21" s="424"/>
      <c r="AI21" s="423"/>
      <c r="AJ21" s="422">
        <f t="shared" si="5"/>
        <v>0</v>
      </c>
      <c r="AK21" s="425">
        <f t="shared" si="6"/>
        <v>0</v>
      </c>
      <c r="AL21" s="422">
        <f t="shared" si="1"/>
        <v>308</v>
      </c>
      <c r="AM21" s="423">
        <f t="shared" si="4"/>
        <v>28643.340000044</v>
      </c>
      <c r="AN21" s="426">
        <v>308</v>
      </c>
      <c r="AO21" s="423">
        <v>28643.340000044</v>
      </c>
      <c r="AP21" s="427"/>
      <c r="AQ21" s="422">
        <v>308</v>
      </c>
      <c r="AR21" s="423">
        <v>92.997857143</v>
      </c>
      <c r="AS21" s="423">
        <f>AR21*AQ21</f>
        <v>28643.340000044</v>
      </c>
      <c r="AT21" s="422">
        <f t="shared" si="2"/>
        <v>0</v>
      </c>
      <c r="AU21" s="423">
        <f t="shared" si="3"/>
        <v>0</v>
      </c>
      <c r="AV21" s="422">
        <v>0</v>
      </c>
      <c r="AW21" s="422"/>
      <c r="AX21" s="428">
        <f>308-308</f>
        <v>0</v>
      </c>
      <c r="AY21" s="422"/>
      <c r="AZ21" s="422"/>
      <c r="BA21" s="422"/>
      <c r="BB21" s="429">
        <f>AB21+AJ21-AL21</f>
        <v>0</v>
      </c>
      <c r="BC21" s="429">
        <f>BB21-AT21</f>
        <v>0</v>
      </c>
    </row>
    <row r="22" spans="2:55" s="430" customFormat="1" ht="15.75">
      <c r="B22" s="409">
        <v>6</v>
      </c>
      <c r="C22" s="410" t="s">
        <v>44</v>
      </c>
      <c r="D22" s="411" t="s">
        <v>83</v>
      </c>
      <c r="E22" s="412" t="s">
        <v>101</v>
      </c>
      <c r="F22" s="412" t="s">
        <v>104</v>
      </c>
      <c r="G22" s="413" t="s">
        <v>47</v>
      </c>
      <c r="H22" s="413" t="s">
        <v>47</v>
      </c>
      <c r="I22" s="414"/>
      <c r="J22" s="414"/>
      <c r="K22" s="415"/>
      <c r="L22" s="416"/>
      <c r="M22" s="415"/>
      <c r="N22" s="414"/>
      <c r="O22" s="417"/>
      <c r="P22" s="414"/>
      <c r="Q22" s="417"/>
      <c r="R22" s="414"/>
      <c r="S22" s="417"/>
      <c r="T22" s="410">
        <v>3100059</v>
      </c>
      <c r="U22" s="418">
        <v>44316</v>
      </c>
      <c r="V22" s="419">
        <v>1613</v>
      </c>
      <c r="W22" s="420">
        <v>43658</v>
      </c>
      <c r="X22" s="419" t="s">
        <v>74</v>
      </c>
      <c r="Y22" s="421">
        <v>43668</v>
      </c>
      <c r="Z22" s="419"/>
      <c r="AA22" s="421"/>
      <c r="AB22" s="422">
        <v>2492</v>
      </c>
      <c r="AC22" s="423">
        <v>237309.59999857598</v>
      </c>
      <c r="AD22" s="424"/>
      <c r="AE22" s="423"/>
      <c r="AF22" s="422"/>
      <c r="AG22" s="423"/>
      <c r="AH22" s="424"/>
      <c r="AI22" s="423"/>
      <c r="AJ22" s="422">
        <f t="shared" si="5"/>
        <v>0</v>
      </c>
      <c r="AK22" s="425">
        <f t="shared" si="6"/>
        <v>0</v>
      </c>
      <c r="AL22" s="422">
        <f t="shared" si="1"/>
        <v>308</v>
      </c>
      <c r="AM22" s="423">
        <f t="shared" si="4"/>
        <v>29330.399999824003</v>
      </c>
      <c r="AN22" s="426">
        <v>2492</v>
      </c>
      <c r="AO22" s="423">
        <v>237309.59999857598</v>
      </c>
      <c r="AP22" s="427"/>
      <c r="AQ22" s="422">
        <v>308</v>
      </c>
      <c r="AR22" s="423">
        <v>95.228571428</v>
      </c>
      <c r="AS22" s="423">
        <f>AR22*AQ22</f>
        <v>29330.399999824</v>
      </c>
      <c r="AT22" s="422">
        <f t="shared" si="2"/>
        <v>2184</v>
      </c>
      <c r="AU22" s="423">
        <f t="shared" si="3"/>
        <v>207979.19999875198</v>
      </c>
      <c r="AV22" s="422">
        <f>2520-112-756-1652</f>
        <v>0</v>
      </c>
      <c r="AW22" s="422"/>
      <c r="AX22" s="428">
        <f>112+1652-252</f>
        <v>1512</v>
      </c>
      <c r="AY22" s="422"/>
      <c r="AZ22" s="428">
        <f>756-28-56</f>
        <v>672</v>
      </c>
      <c r="BA22" s="422"/>
      <c r="BB22" s="429">
        <f>AB22+AJ22-AL22</f>
        <v>2184</v>
      </c>
      <c r="BC22" s="429">
        <f>BB22-AT22</f>
        <v>0</v>
      </c>
    </row>
    <row r="23" spans="2:55" s="430" customFormat="1" ht="15.75">
      <c r="B23" s="409">
        <v>7</v>
      </c>
      <c r="C23" s="410" t="s">
        <v>44</v>
      </c>
      <c r="D23" s="411" t="s">
        <v>83</v>
      </c>
      <c r="E23" s="412" t="s">
        <v>101</v>
      </c>
      <c r="F23" s="412" t="s">
        <v>104</v>
      </c>
      <c r="G23" s="413" t="s">
        <v>47</v>
      </c>
      <c r="H23" s="413" t="s">
        <v>47</v>
      </c>
      <c r="I23" s="414"/>
      <c r="J23" s="414"/>
      <c r="K23" s="415"/>
      <c r="L23" s="416"/>
      <c r="M23" s="415"/>
      <c r="N23" s="414"/>
      <c r="O23" s="417"/>
      <c r="P23" s="414"/>
      <c r="Q23" s="417"/>
      <c r="R23" s="414"/>
      <c r="S23" s="417"/>
      <c r="T23" s="410">
        <v>3100243</v>
      </c>
      <c r="U23" s="418">
        <v>44347</v>
      </c>
      <c r="V23" s="419">
        <v>1990</v>
      </c>
      <c r="W23" s="420">
        <v>43738</v>
      </c>
      <c r="X23" s="419" t="s">
        <v>84</v>
      </c>
      <c r="Y23" s="421">
        <v>43745</v>
      </c>
      <c r="Z23" s="419"/>
      <c r="AA23" s="421"/>
      <c r="AB23" s="422">
        <v>84</v>
      </c>
      <c r="AC23" s="423">
        <v>7811.82</v>
      </c>
      <c r="AD23" s="424"/>
      <c r="AE23" s="423"/>
      <c r="AF23" s="422"/>
      <c r="AG23" s="423"/>
      <c r="AH23" s="424"/>
      <c r="AI23" s="423"/>
      <c r="AJ23" s="422">
        <f t="shared" si="5"/>
        <v>0</v>
      </c>
      <c r="AK23" s="425">
        <f t="shared" si="6"/>
        <v>0</v>
      </c>
      <c r="AL23" s="422">
        <f t="shared" si="1"/>
        <v>0</v>
      </c>
      <c r="AM23" s="423">
        <f t="shared" si="4"/>
        <v>0</v>
      </c>
      <c r="AN23" s="426">
        <v>84</v>
      </c>
      <c r="AO23" s="423">
        <v>7811.82</v>
      </c>
      <c r="AP23" s="427"/>
      <c r="AQ23" s="422"/>
      <c r="AR23" s="423">
        <v>92.99785714285714</v>
      </c>
      <c r="AS23" s="423">
        <f>AR23*AQ23</f>
        <v>0</v>
      </c>
      <c r="AT23" s="422">
        <f t="shared" si="2"/>
        <v>84</v>
      </c>
      <c r="AU23" s="423">
        <f t="shared" si="3"/>
        <v>7811.82</v>
      </c>
      <c r="AV23" s="422">
        <f>84-84</f>
        <v>0</v>
      </c>
      <c r="AW23" s="422"/>
      <c r="AX23" s="428">
        <v>84</v>
      </c>
      <c r="AY23" s="422"/>
      <c r="AZ23" s="428"/>
      <c r="BA23" s="422"/>
      <c r="BB23" s="429">
        <f>AB23+AJ23-AL23</f>
        <v>84</v>
      </c>
      <c r="BC23" s="429">
        <f>BB23-AT23</f>
        <v>0</v>
      </c>
    </row>
    <row r="24" spans="2:55" s="430" customFormat="1" ht="15.75">
      <c r="B24" s="409">
        <v>8</v>
      </c>
      <c r="C24" s="410" t="s">
        <v>44</v>
      </c>
      <c r="D24" s="411" t="s">
        <v>83</v>
      </c>
      <c r="E24" s="412" t="s">
        <v>101</v>
      </c>
      <c r="F24" s="412" t="s">
        <v>104</v>
      </c>
      <c r="G24" s="413" t="s">
        <v>47</v>
      </c>
      <c r="H24" s="413" t="s">
        <v>47</v>
      </c>
      <c r="I24" s="414"/>
      <c r="J24" s="414"/>
      <c r="K24" s="415"/>
      <c r="L24" s="416"/>
      <c r="M24" s="415"/>
      <c r="N24" s="414"/>
      <c r="O24" s="417"/>
      <c r="P24" s="414"/>
      <c r="Q24" s="417"/>
      <c r="R24" s="414"/>
      <c r="S24" s="417"/>
      <c r="T24" s="410">
        <v>3105977</v>
      </c>
      <c r="U24" s="418">
        <v>44439</v>
      </c>
      <c r="V24" s="419">
        <v>79</v>
      </c>
      <c r="W24" s="420">
        <v>43845</v>
      </c>
      <c r="X24" s="419" t="s">
        <v>96</v>
      </c>
      <c r="Y24" s="421">
        <v>43857</v>
      </c>
      <c r="Z24" s="419"/>
      <c r="AA24" s="421"/>
      <c r="AB24" s="422">
        <v>0</v>
      </c>
      <c r="AC24" s="423">
        <v>0</v>
      </c>
      <c r="AD24" s="424">
        <v>28</v>
      </c>
      <c r="AE24" s="423">
        <v>2603.94</v>
      </c>
      <c r="AF24" s="422"/>
      <c r="AG24" s="423"/>
      <c r="AH24" s="424"/>
      <c r="AI24" s="423"/>
      <c r="AJ24" s="422">
        <f t="shared" si="5"/>
        <v>28</v>
      </c>
      <c r="AK24" s="425">
        <f t="shared" si="6"/>
        <v>2603.94</v>
      </c>
      <c r="AL24" s="422">
        <f t="shared" si="1"/>
        <v>0</v>
      </c>
      <c r="AM24" s="423">
        <f t="shared" si="4"/>
        <v>-3.999957698397338E-09</v>
      </c>
      <c r="AN24" s="426">
        <v>0</v>
      </c>
      <c r="AO24" s="423">
        <v>0</v>
      </c>
      <c r="AP24" s="427">
        <v>28</v>
      </c>
      <c r="AQ24" s="422"/>
      <c r="AR24" s="423">
        <v>92.997857143</v>
      </c>
      <c r="AS24" s="423">
        <f>AR24*AQ24</f>
        <v>0</v>
      </c>
      <c r="AT24" s="422">
        <f t="shared" si="2"/>
        <v>28</v>
      </c>
      <c r="AU24" s="423">
        <f t="shared" si="3"/>
        <v>2603.940000004</v>
      </c>
      <c r="AV24" s="422">
        <v>28</v>
      </c>
      <c r="AW24" s="422"/>
      <c r="AX24" s="428"/>
      <c r="AY24" s="422"/>
      <c r="AZ24" s="428"/>
      <c r="BA24" s="422"/>
      <c r="BB24" s="429"/>
      <c r="BC24" s="429"/>
    </row>
    <row r="25" spans="2:55" s="440" customFormat="1" ht="15.75">
      <c r="B25" s="434">
        <v>9</v>
      </c>
      <c r="C25" s="98" t="s">
        <v>44</v>
      </c>
      <c r="D25" s="435" t="s">
        <v>48</v>
      </c>
      <c r="E25" s="436" t="s">
        <v>49</v>
      </c>
      <c r="F25" s="465" t="s">
        <v>105</v>
      </c>
      <c r="G25" s="99" t="s">
        <v>47</v>
      </c>
      <c r="H25" s="99" t="s">
        <v>47</v>
      </c>
      <c r="I25" s="100"/>
      <c r="J25" s="100"/>
      <c r="K25" s="101"/>
      <c r="L25" s="102"/>
      <c r="M25" s="101">
        <f>K25*L25</f>
        <v>0</v>
      </c>
      <c r="N25" s="100"/>
      <c r="O25" s="103"/>
      <c r="P25" s="100"/>
      <c r="Q25" s="103"/>
      <c r="R25" s="100"/>
      <c r="S25" s="103"/>
      <c r="T25" s="98">
        <v>19027411</v>
      </c>
      <c r="U25" s="104">
        <v>44347</v>
      </c>
      <c r="V25" s="105">
        <v>1786</v>
      </c>
      <c r="W25" s="106">
        <v>43690</v>
      </c>
      <c r="X25" s="105" t="s">
        <v>78</v>
      </c>
      <c r="Y25" s="107">
        <v>43696</v>
      </c>
      <c r="Z25" s="105" t="s">
        <v>79</v>
      </c>
      <c r="AA25" s="107">
        <v>43693</v>
      </c>
      <c r="AB25" s="108">
        <v>41400</v>
      </c>
      <c r="AC25" s="109">
        <v>118031.4</v>
      </c>
      <c r="AD25" s="110"/>
      <c r="AE25" s="109"/>
      <c r="AF25" s="110"/>
      <c r="AG25" s="109"/>
      <c r="AH25" s="110"/>
      <c r="AI25" s="109"/>
      <c r="AJ25" s="108">
        <f t="shared" si="5"/>
        <v>0</v>
      </c>
      <c r="AK25" s="437">
        <f t="shared" si="6"/>
        <v>0</v>
      </c>
      <c r="AL25" s="108">
        <f t="shared" si="1"/>
        <v>900</v>
      </c>
      <c r="AM25" s="109">
        <f t="shared" si="4"/>
        <v>2565.899999999994</v>
      </c>
      <c r="AN25" s="184">
        <v>41400</v>
      </c>
      <c r="AO25" s="109">
        <v>118031.4</v>
      </c>
      <c r="AP25" s="111"/>
      <c r="AQ25" s="108">
        <v>900</v>
      </c>
      <c r="AR25" s="109">
        <v>2.851</v>
      </c>
      <c r="AS25" s="109">
        <f aca="true" t="shared" si="7" ref="AS25:AS30">AQ25*AR25</f>
        <v>2565.9</v>
      </c>
      <c r="AT25" s="108">
        <f t="shared" si="2"/>
        <v>40500</v>
      </c>
      <c r="AU25" s="109">
        <f t="shared" si="3"/>
        <v>115465.5</v>
      </c>
      <c r="AV25" s="108">
        <f>41880-41880</f>
        <v>0</v>
      </c>
      <c r="AW25" s="108"/>
      <c r="AX25" s="438">
        <f>41880-30-450-900</f>
        <v>40500</v>
      </c>
      <c r="AY25" s="108"/>
      <c r="AZ25" s="438"/>
      <c r="BA25" s="108"/>
      <c r="BB25" s="439">
        <f aca="true" t="shared" si="8" ref="BB25:BB33">AB25+AJ25-AL25</f>
        <v>40500</v>
      </c>
      <c r="BC25" s="439">
        <f aca="true" t="shared" si="9" ref="BC25:BC33">BB25-AT25</f>
        <v>0</v>
      </c>
    </row>
    <row r="26" spans="2:55" s="462" customFormat="1" ht="15.75">
      <c r="B26" s="441">
        <v>10</v>
      </c>
      <c r="C26" s="442" t="s">
        <v>44</v>
      </c>
      <c r="D26" s="443" t="s">
        <v>50</v>
      </c>
      <c r="E26" s="444" t="s">
        <v>39</v>
      </c>
      <c r="F26" s="466" t="s">
        <v>106</v>
      </c>
      <c r="G26" s="445" t="s">
        <v>47</v>
      </c>
      <c r="H26" s="445" t="s">
        <v>47</v>
      </c>
      <c r="I26" s="446"/>
      <c r="J26" s="446"/>
      <c r="K26" s="447"/>
      <c r="L26" s="448"/>
      <c r="M26" s="447">
        <f>K26*L26</f>
        <v>0</v>
      </c>
      <c r="N26" s="446"/>
      <c r="O26" s="449"/>
      <c r="P26" s="446"/>
      <c r="Q26" s="449"/>
      <c r="R26" s="446"/>
      <c r="S26" s="449"/>
      <c r="T26" s="442" t="s">
        <v>51</v>
      </c>
      <c r="U26" s="450">
        <v>44105</v>
      </c>
      <c r="V26" s="451">
        <v>1274</v>
      </c>
      <c r="W26" s="452">
        <v>43287</v>
      </c>
      <c r="X26" s="451" t="s">
        <v>52</v>
      </c>
      <c r="Y26" s="453">
        <v>43304</v>
      </c>
      <c r="Z26" s="451" t="s">
        <v>53</v>
      </c>
      <c r="AA26" s="453">
        <v>43315</v>
      </c>
      <c r="AB26" s="454">
        <v>4066</v>
      </c>
      <c r="AC26" s="455">
        <v>34980.669286876</v>
      </c>
      <c r="AD26" s="456"/>
      <c r="AE26" s="455"/>
      <c r="AF26" s="456"/>
      <c r="AG26" s="455"/>
      <c r="AH26" s="456"/>
      <c r="AI26" s="455"/>
      <c r="AJ26" s="454">
        <f t="shared" si="5"/>
        <v>0</v>
      </c>
      <c r="AK26" s="457">
        <f t="shared" si="6"/>
        <v>0</v>
      </c>
      <c r="AL26" s="454">
        <f t="shared" si="1"/>
        <v>2082</v>
      </c>
      <c r="AM26" s="455">
        <f t="shared" si="4"/>
        <v>17911.892143452</v>
      </c>
      <c r="AN26" s="458">
        <v>4066</v>
      </c>
      <c r="AO26" s="455">
        <v>34980.669286876</v>
      </c>
      <c r="AP26" s="459"/>
      <c r="AQ26" s="454">
        <f>1746+336</f>
        <v>2082</v>
      </c>
      <c r="AR26" s="455">
        <v>8.603214286</v>
      </c>
      <c r="AS26" s="455">
        <f t="shared" si="7"/>
        <v>17911.892143452</v>
      </c>
      <c r="AT26" s="454">
        <f t="shared" si="2"/>
        <v>1984</v>
      </c>
      <c r="AU26" s="455">
        <f t="shared" si="3"/>
        <v>17068.777143424</v>
      </c>
      <c r="AV26" s="460">
        <f>20664-5576-2520-6048-4032-504-1984</f>
        <v>0</v>
      </c>
      <c r="AW26" s="454"/>
      <c r="AX26" s="460">
        <f>5576+6048-1848-2682+4032-1820-3052-4508-1746</f>
        <v>0</v>
      </c>
      <c r="AY26" s="454"/>
      <c r="AZ26" s="460">
        <f>2520-1512-504+1984-168-336</f>
        <v>1984</v>
      </c>
      <c r="BA26" s="454"/>
      <c r="BB26" s="461">
        <f t="shared" si="8"/>
        <v>1984</v>
      </c>
      <c r="BC26" s="461">
        <f t="shared" si="9"/>
        <v>0</v>
      </c>
    </row>
    <row r="27" spans="2:55" s="462" customFormat="1" ht="15.75">
      <c r="B27" s="441">
        <v>11</v>
      </c>
      <c r="C27" s="442" t="s">
        <v>44</v>
      </c>
      <c r="D27" s="443" t="s">
        <v>50</v>
      </c>
      <c r="E27" s="444" t="s">
        <v>39</v>
      </c>
      <c r="F27" s="466" t="s">
        <v>106</v>
      </c>
      <c r="G27" s="445" t="s">
        <v>47</v>
      </c>
      <c r="H27" s="445" t="s">
        <v>47</v>
      </c>
      <c r="I27" s="446"/>
      <c r="J27" s="446"/>
      <c r="K27" s="447"/>
      <c r="L27" s="448"/>
      <c r="M27" s="447"/>
      <c r="N27" s="446"/>
      <c r="O27" s="449"/>
      <c r="P27" s="446"/>
      <c r="Q27" s="449"/>
      <c r="R27" s="446"/>
      <c r="S27" s="449"/>
      <c r="T27" s="442" t="s">
        <v>54</v>
      </c>
      <c r="U27" s="450">
        <v>44105</v>
      </c>
      <c r="V27" s="451">
        <v>1390</v>
      </c>
      <c r="W27" s="452">
        <v>43307</v>
      </c>
      <c r="X27" s="451" t="s">
        <v>55</v>
      </c>
      <c r="Y27" s="463">
        <v>43325</v>
      </c>
      <c r="Z27" s="464" t="s">
        <v>56</v>
      </c>
      <c r="AA27" s="463">
        <v>43321</v>
      </c>
      <c r="AB27" s="454">
        <v>20496</v>
      </c>
      <c r="AC27" s="455">
        <v>176331.480005856</v>
      </c>
      <c r="AD27" s="456"/>
      <c r="AE27" s="455"/>
      <c r="AF27" s="456"/>
      <c r="AG27" s="455"/>
      <c r="AH27" s="456"/>
      <c r="AI27" s="455"/>
      <c r="AJ27" s="454">
        <f t="shared" si="5"/>
        <v>0</v>
      </c>
      <c r="AK27" s="457">
        <f t="shared" si="6"/>
        <v>0</v>
      </c>
      <c r="AL27" s="454">
        <f t="shared" si="1"/>
        <v>3266</v>
      </c>
      <c r="AM27" s="455">
        <f t="shared" si="4"/>
        <v>28098.097858075984</v>
      </c>
      <c r="AN27" s="458">
        <v>20496</v>
      </c>
      <c r="AO27" s="455">
        <v>176331.480005856</v>
      </c>
      <c r="AP27" s="459"/>
      <c r="AQ27" s="454">
        <v>3266</v>
      </c>
      <c r="AR27" s="455">
        <v>8.603214286</v>
      </c>
      <c r="AS27" s="455">
        <f t="shared" si="7"/>
        <v>28098.097858076</v>
      </c>
      <c r="AT27" s="454">
        <f t="shared" si="2"/>
        <v>17230</v>
      </c>
      <c r="AU27" s="455">
        <f t="shared" si="3"/>
        <v>148233.38214778</v>
      </c>
      <c r="AV27" s="460">
        <f>20496-8064-2552-9880</f>
        <v>0</v>
      </c>
      <c r="AW27" s="454"/>
      <c r="AX27" s="460">
        <f>8064-3266+9880</f>
        <v>14678</v>
      </c>
      <c r="AY27" s="454"/>
      <c r="AZ27" s="460">
        <v>2552</v>
      </c>
      <c r="BA27" s="454"/>
      <c r="BB27" s="461">
        <f t="shared" si="8"/>
        <v>17230</v>
      </c>
      <c r="BC27" s="461">
        <f t="shared" si="9"/>
        <v>0</v>
      </c>
    </row>
    <row r="28" spans="2:55" ht="15.75" hidden="1">
      <c r="B28" s="148"/>
      <c r="C28" s="5"/>
      <c r="D28" s="6"/>
      <c r="E28" s="300" t="s">
        <v>57</v>
      </c>
      <c r="F28" s="300"/>
      <c r="G28" s="297" t="s">
        <v>47</v>
      </c>
      <c r="H28" s="297" t="s">
        <v>47</v>
      </c>
      <c r="I28" s="301">
        <v>84</v>
      </c>
      <c r="J28" s="301">
        <v>895</v>
      </c>
      <c r="K28" s="302">
        <v>249.07</v>
      </c>
      <c r="L28" s="303">
        <f>I28*J28</f>
        <v>75180</v>
      </c>
      <c r="M28" s="302">
        <f>K28*L28</f>
        <v>18725082.599999998</v>
      </c>
      <c r="N28" s="301"/>
      <c r="O28" s="304"/>
      <c r="P28" s="301"/>
      <c r="Q28" s="304"/>
      <c r="R28" s="301"/>
      <c r="S28" s="304"/>
      <c r="T28" s="5"/>
      <c r="U28" s="5"/>
      <c r="V28" s="7"/>
      <c r="W28" s="8"/>
      <c r="X28" s="7"/>
      <c r="Y28" s="306"/>
      <c r="Z28" s="306"/>
      <c r="AA28" s="306"/>
      <c r="AB28" s="273">
        <v>0</v>
      </c>
      <c r="AC28" s="9">
        <v>0</v>
      </c>
      <c r="AD28" s="299"/>
      <c r="AE28" s="9"/>
      <c r="AF28" s="299"/>
      <c r="AG28" s="9"/>
      <c r="AH28" s="299"/>
      <c r="AI28" s="9"/>
      <c r="AJ28" s="3">
        <f t="shared" si="5"/>
        <v>0</v>
      </c>
      <c r="AK28" s="186">
        <f>AJ28*AR28</f>
        <v>0</v>
      </c>
      <c r="AL28" s="3">
        <f t="shared" si="1"/>
        <v>8000</v>
      </c>
      <c r="AM28" s="9">
        <f t="shared" si="4"/>
        <v>17452.58</v>
      </c>
      <c r="AN28" s="298">
        <v>0</v>
      </c>
      <c r="AO28" s="9">
        <v>0</v>
      </c>
      <c r="AP28" s="305"/>
      <c r="AQ28" s="3">
        <f>AN28-AT28</f>
        <v>0</v>
      </c>
      <c r="AR28" s="9"/>
      <c r="AS28" s="9">
        <f t="shared" si="7"/>
        <v>0</v>
      </c>
      <c r="AT28" s="3">
        <f>AN28+AP28-AQ28</f>
        <v>0</v>
      </c>
      <c r="AU28" s="9">
        <f>AT28*AR28</f>
        <v>0</v>
      </c>
      <c r="AV28" s="3">
        <v>0</v>
      </c>
      <c r="AW28" s="3"/>
      <c r="AX28" s="3"/>
      <c r="AY28" s="3"/>
      <c r="AZ28" s="3"/>
      <c r="BA28" s="3"/>
      <c r="BB28" s="10">
        <f t="shared" si="8"/>
        <v>0</v>
      </c>
      <c r="BC28" s="10">
        <f t="shared" si="9"/>
        <v>0</v>
      </c>
    </row>
    <row r="29" spans="2:55" ht="15.75" hidden="1">
      <c r="B29" s="148"/>
      <c r="C29" s="5"/>
      <c r="D29" s="6"/>
      <c r="E29" s="300" t="s">
        <v>58</v>
      </c>
      <c r="F29" s="300"/>
      <c r="G29" s="297" t="s">
        <v>47</v>
      </c>
      <c r="H29" s="297" t="s">
        <v>47</v>
      </c>
      <c r="I29" s="301"/>
      <c r="J29" s="301"/>
      <c r="K29" s="302">
        <v>35.36</v>
      </c>
      <c r="L29" s="303">
        <f>I29*J29</f>
        <v>0</v>
      </c>
      <c r="M29" s="302">
        <f>K29*L29</f>
        <v>0</v>
      </c>
      <c r="N29" s="301"/>
      <c r="O29" s="304"/>
      <c r="P29" s="301"/>
      <c r="Q29" s="304"/>
      <c r="R29" s="301"/>
      <c r="S29" s="304"/>
      <c r="T29" s="5"/>
      <c r="U29" s="5"/>
      <c r="V29" s="7"/>
      <c r="W29" s="8"/>
      <c r="X29" s="7"/>
      <c r="Y29" s="306"/>
      <c r="Z29" s="306"/>
      <c r="AA29" s="306"/>
      <c r="AB29" s="273">
        <v>0</v>
      </c>
      <c r="AC29" s="9">
        <v>0</v>
      </c>
      <c r="AD29" s="299"/>
      <c r="AE29" s="9"/>
      <c r="AF29" s="299"/>
      <c r="AG29" s="9"/>
      <c r="AH29" s="299"/>
      <c r="AI29" s="9"/>
      <c r="AJ29" s="3">
        <f t="shared" si="5"/>
        <v>0</v>
      </c>
      <c r="AK29" s="186">
        <f>AJ29*AR29</f>
        <v>0</v>
      </c>
      <c r="AL29" s="3">
        <f t="shared" si="1"/>
        <v>8000</v>
      </c>
      <c r="AM29" s="9">
        <f t="shared" si="4"/>
        <v>17452.58</v>
      </c>
      <c r="AN29" s="298">
        <v>0</v>
      </c>
      <c r="AO29" s="9">
        <v>0</v>
      </c>
      <c r="AP29" s="305"/>
      <c r="AQ29" s="3">
        <f>AN29-AT29</f>
        <v>0</v>
      </c>
      <c r="AR29" s="9"/>
      <c r="AS29" s="9">
        <f t="shared" si="7"/>
        <v>0</v>
      </c>
      <c r="AT29" s="3">
        <f>AN29+AP29-AQ29</f>
        <v>0</v>
      </c>
      <c r="AU29" s="9">
        <f>AT29*AR29</f>
        <v>0</v>
      </c>
      <c r="AV29" s="3">
        <v>0</v>
      </c>
      <c r="AW29" s="3"/>
      <c r="AX29" s="3"/>
      <c r="AY29" s="3"/>
      <c r="AZ29" s="3"/>
      <c r="BA29" s="3"/>
      <c r="BB29" s="10">
        <f t="shared" si="8"/>
        <v>0</v>
      </c>
      <c r="BC29" s="10">
        <f t="shared" si="9"/>
        <v>0</v>
      </c>
    </row>
    <row r="30" spans="2:55" ht="15.75" hidden="1">
      <c r="B30" s="148"/>
      <c r="C30" s="5"/>
      <c r="D30" s="6" t="s">
        <v>59</v>
      </c>
      <c r="E30" s="300" t="s">
        <v>60</v>
      </c>
      <c r="F30" s="300"/>
      <c r="G30" s="297" t="s">
        <v>47</v>
      </c>
      <c r="H30" s="297" t="s">
        <v>47</v>
      </c>
      <c r="I30" s="301"/>
      <c r="J30" s="301"/>
      <c r="K30" s="302">
        <v>35.36</v>
      </c>
      <c r="L30" s="303">
        <f>I30*J30</f>
        <v>0</v>
      </c>
      <c r="M30" s="302">
        <f>K30*L30</f>
        <v>0</v>
      </c>
      <c r="N30" s="301"/>
      <c r="O30" s="304"/>
      <c r="P30" s="301"/>
      <c r="Q30" s="304"/>
      <c r="R30" s="301"/>
      <c r="S30" s="304"/>
      <c r="T30" s="5"/>
      <c r="U30" s="5"/>
      <c r="V30" s="7"/>
      <c r="W30" s="8"/>
      <c r="X30" s="7"/>
      <c r="Y30" s="306"/>
      <c r="Z30" s="306"/>
      <c r="AA30" s="306"/>
      <c r="AB30" s="273">
        <v>0</v>
      </c>
      <c r="AC30" s="9">
        <v>0</v>
      </c>
      <c r="AD30" s="299"/>
      <c r="AE30" s="9"/>
      <c r="AF30" s="299"/>
      <c r="AG30" s="9"/>
      <c r="AH30" s="299"/>
      <c r="AI30" s="9"/>
      <c r="AJ30" s="3">
        <f t="shared" si="5"/>
        <v>0</v>
      </c>
      <c r="AK30" s="186">
        <f>AJ30*AR30</f>
        <v>0</v>
      </c>
      <c r="AL30" s="3">
        <f t="shared" si="1"/>
        <v>8000</v>
      </c>
      <c r="AM30" s="9">
        <f t="shared" si="4"/>
        <v>17452.58</v>
      </c>
      <c r="AN30" s="298">
        <v>0</v>
      </c>
      <c r="AO30" s="9">
        <v>0</v>
      </c>
      <c r="AP30" s="305"/>
      <c r="AQ30" s="3">
        <f>AN30-AT30</f>
        <v>0</v>
      </c>
      <c r="AR30" s="9"/>
      <c r="AS30" s="9">
        <f t="shared" si="7"/>
        <v>0</v>
      </c>
      <c r="AT30" s="3">
        <f>AN30+AP30-AQ30</f>
        <v>0</v>
      </c>
      <c r="AU30" s="9">
        <f>AT30*AR30</f>
        <v>0</v>
      </c>
      <c r="AV30" s="3">
        <v>0</v>
      </c>
      <c r="AW30" s="3"/>
      <c r="AX30" s="3"/>
      <c r="AY30" s="3"/>
      <c r="AZ30" s="3"/>
      <c r="BA30" s="3"/>
      <c r="BB30" s="10">
        <f t="shared" si="8"/>
        <v>0</v>
      </c>
      <c r="BC30" s="10">
        <f t="shared" si="9"/>
        <v>0</v>
      </c>
    </row>
    <row r="31" spans="2:55" s="168" customFormat="1" ht="15.75">
      <c r="B31" s="149"/>
      <c r="C31" s="610" t="s">
        <v>61</v>
      </c>
      <c r="D31" s="610"/>
      <c r="E31" s="610"/>
      <c r="F31" s="610"/>
      <c r="G31" s="610"/>
      <c r="H31" s="610"/>
      <c r="I31" s="153"/>
      <c r="J31" s="153"/>
      <c r="K31" s="307"/>
      <c r="L31" s="307"/>
      <c r="M31" s="307">
        <f aca="true" t="shared" si="10" ref="M31:S31">SUM(M17:N27)</f>
        <v>0</v>
      </c>
      <c r="N31" s="307">
        <f t="shared" si="10"/>
        <v>0</v>
      </c>
      <c r="O31" s="307">
        <f t="shared" si="10"/>
        <v>0</v>
      </c>
      <c r="P31" s="307">
        <f t="shared" si="10"/>
        <v>0</v>
      </c>
      <c r="Q31" s="307">
        <f t="shared" si="10"/>
        <v>0</v>
      </c>
      <c r="R31" s="307">
        <f t="shared" si="10"/>
        <v>0</v>
      </c>
      <c r="S31" s="307">
        <f t="shared" si="10"/>
        <v>40732414</v>
      </c>
      <c r="T31" s="274"/>
      <c r="U31" s="274"/>
      <c r="V31" s="153"/>
      <c r="W31" s="153"/>
      <c r="X31" s="274"/>
      <c r="Y31" s="274"/>
      <c r="Z31" s="274"/>
      <c r="AA31" s="274"/>
      <c r="AB31" s="154">
        <f aca="true" t="shared" si="11" ref="AB31:AK31">SUM(AB17:AB30)</f>
        <v>69997</v>
      </c>
      <c r="AC31" s="154">
        <f t="shared" si="11"/>
        <v>646430.599290932</v>
      </c>
      <c r="AD31" s="154">
        <f t="shared" si="11"/>
        <v>616</v>
      </c>
      <c r="AE31" s="154">
        <f t="shared" si="11"/>
        <v>21451.23</v>
      </c>
      <c r="AF31" s="154">
        <f t="shared" si="11"/>
        <v>0</v>
      </c>
      <c r="AG31" s="154">
        <f t="shared" si="11"/>
        <v>0</v>
      </c>
      <c r="AH31" s="154">
        <f t="shared" si="11"/>
        <v>0</v>
      </c>
      <c r="AI31" s="154">
        <f t="shared" si="11"/>
        <v>0</v>
      </c>
      <c r="AJ31" s="154">
        <f t="shared" si="11"/>
        <v>616</v>
      </c>
      <c r="AK31" s="154">
        <f t="shared" si="11"/>
        <v>21451.23</v>
      </c>
      <c r="AL31" s="154">
        <f>SUM(AL17:AL27)</f>
        <v>7539</v>
      </c>
      <c r="AM31" s="154">
        <f>SUM(AM17:AM30)</f>
        <v>0</v>
      </c>
      <c r="AN31" s="154">
        <f>SUM(AN17:AN30)</f>
        <v>69997</v>
      </c>
      <c r="AO31" s="154">
        <f>SUM(AO17:AO30)</f>
        <v>646430.599290932</v>
      </c>
      <c r="AP31" s="154">
        <f>SUM(AP17:AP30)</f>
        <v>616</v>
      </c>
      <c r="AQ31" s="154">
        <f>SUM(AQ17:AQ30)</f>
        <v>0</v>
      </c>
      <c r="AR31" s="149" t="s">
        <v>40</v>
      </c>
      <c r="AS31" s="149">
        <f aca="true" t="shared" si="12" ref="AS31:BA31">SUM(AS17:AS27)</f>
        <v>134804.65000118</v>
      </c>
      <c r="AT31" s="154">
        <f t="shared" si="12"/>
        <v>63074</v>
      </c>
      <c r="AU31" s="149">
        <f t="shared" si="12"/>
        <v>533077.179289924</v>
      </c>
      <c r="AV31" s="154">
        <f t="shared" si="12"/>
        <v>616</v>
      </c>
      <c r="AW31" s="154">
        <f t="shared" si="12"/>
        <v>0</v>
      </c>
      <c r="AX31" s="154">
        <f t="shared" si="12"/>
        <v>57250</v>
      </c>
      <c r="AY31" s="154">
        <f t="shared" si="12"/>
        <v>0</v>
      </c>
      <c r="AZ31" s="154">
        <f t="shared" si="12"/>
        <v>5208</v>
      </c>
      <c r="BA31" s="154">
        <f t="shared" si="12"/>
        <v>0</v>
      </c>
      <c r="BB31" s="156">
        <f t="shared" si="8"/>
        <v>63074</v>
      </c>
      <c r="BC31" s="156">
        <f t="shared" si="9"/>
        <v>0</v>
      </c>
    </row>
    <row r="32" spans="2:55" ht="15.75">
      <c r="B32" s="1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08"/>
      <c r="U32" s="308"/>
      <c r="V32" s="4"/>
      <c r="W32" s="4"/>
      <c r="X32" s="4"/>
      <c r="Y32" s="4"/>
      <c r="Z32" s="4"/>
      <c r="AA32" s="4"/>
      <c r="AB32" s="11"/>
      <c r="AC32" s="4"/>
      <c r="AD32" s="4"/>
      <c r="AE32" s="4"/>
      <c r="AF32" s="4"/>
      <c r="AG32" s="4"/>
      <c r="AH32" s="4"/>
      <c r="AI32" s="4"/>
      <c r="AJ32" s="11"/>
      <c r="AK32" s="188"/>
      <c r="AL32" s="11"/>
      <c r="AM32" s="4"/>
      <c r="AN32" s="309"/>
      <c r="AO32" s="4"/>
      <c r="AP32" s="310"/>
      <c r="AQ32" s="12"/>
      <c r="AR32" s="1"/>
      <c r="AS32" s="1"/>
      <c r="AT32" s="12"/>
      <c r="AU32" s="1"/>
      <c r="AV32" s="1"/>
      <c r="AW32" s="1"/>
      <c r="AX32" s="1"/>
      <c r="AY32" s="1"/>
      <c r="AZ32" s="1"/>
      <c r="BA32" s="1"/>
      <c r="BB32" s="10">
        <f t="shared" si="8"/>
        <v>0</v>
      </c>
      <c r="BC32" s="10">
        <f t="shared" si="9"/>
        <v>0</v>
      </c>
    </row>
    <row r="33" spans="2:55" ht="18.75" hidden="1">
      <c r="B33" s="1"/>
      <c r="C33" s="21"/>
      <c r="D33" s="22"/>
      <c r="E33" s="22"/>
      <c r="F33" s="22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2"/>
      <c r="U33" s="312"/>
      <c r="V33" s="22"/>
      <c r="W33" s="22"/>
      <c r="X33" s="22"/>
      <c r="Y33" s="22"/>
      <c r="Z33" s="22"/>
      <c r="AA33" s="22"/>
      <c r="AB33" s="23">
        <v>25627</v>
      </c>
      <c r="AC33" s="24">
        <v>429721.02999999997</v>
      </c>
      <c r="AD33" s="24">
        <v>2489</v>
      </c>
      <c r="AE33" s="24">
        <v>238467.40999999997</v>
      </c>
      <c r="AF33" s="24">
        <v>43857</v>
      </c>
      <c r="AG33" s="24">
        <v>1030797.06</v>
      </c>
      <c r="AH33" s="24">
        <v>0</v>
      </c>
      <c r="AI33" s="24">
        <v>0</v>
      </c>
      <c r="AJ33" s="25">
        <v>46346</v>
      </c>
      <c r="AK33" s="190">
        <v>1269264.4699921182</v>
      </c>
      <c r="AL33" s="23">
        <v>5305</v>
      </c>
      <c r="AM33" s="24">
        <v>209811.62</v>
      </c>
      <c r="AN33" s="313">
        <v>66668</v>
      </c>
      <c r="AO33" s="314">
        <v>1489173.879992118</v>
      </c>
      <c r="AP33" s="315">
        <v>0</v>
      </c>
      <c r="AQ33" s="26">
        <v>0</v>
      </c>
      <c r="AR33" s="316" t="s">
        <v>40</v>
      </c>
      <c r="AS33" s="316">
        <v>0</v>
      </c>
      <c r="AT33" s="26">
        <v>66668</v>
      </c>
      <c r="AU33" s="27">
        <v>1489173.879992118</v>
      </c>
      <c r="AV33" s="28">
        <f>AB31+AJ31-AL31</f>
        <v>63074</v>
      </c>
      <c r="AW33" s="28"/>
      <c r="AX33" s="1"/>
      <c r="AY33" s="1"/>
      <c r="AZ33" s="1"/>
      <c r="BA33" s="1"/>
      <c r="BB33" s="10">
        <f t="shared" si="8"/>
        <v>66668</v>
      </c>
      <c r="BC33" s="10">
        <f t="shared" si="9"/>
        <v>0</v>
      </c>
    </row>
    <row r="34" spans="1:55" s="323" customFormat="1" ht="20.25">
      <c r="A34" s="171"/>
      <c r="B34" s="14"/>
      <c r="C34" s="13" t="s">
        <v>80</v>
      </c>
      <c r="D34" s="14"/>
      <c r="E34" s="15" t="s">
        <v>62</v>
      </c>
      <c r="F34" s="15"/>
      <c r="G34" s="16"/>
      <c r="H34" s="15"/>
      <c r="I34" s="15" t="s">
        <v>63</v>
      </c>
      <c r="J34" s="15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5"/>
      <c r="X34" s="15"/>
      <c r="Y34" s="16"/>
      <c r="Z34" s="15"/>
      <c r="AA34" s="15"/>
      <c r="AB34" s="13"/>
      <c r="AC34" s="15" t="s">
        <v>77</v>
      </c>
      <c r="AD34" s="15"/>
      <c r="AE34" s="317"/>
      <c r="AF34" s="15"/>
      <c r="AG34" s="15"/>
      <c r="AH34" s="15"/>
      <c r="AI34" s="15"/>
      <c r="AJ34" s="13"/>
      <c r="AK34" s="192"/>
      <c r="AL34" s="13"/>
      <c r="AM34" s="18"/>
      <c r="AN34" s="318"/>
      <c r="AO34" s="317"/>
      <c r="AP34" s="319"/>
      <c r="AQ34" s="320"/>
      <c r="AR34" s="321"/>
      <c r="AS34" s="322"/>
      <c r="AT34" s="14"/>
      <c r="AU34" s="19"/>
      <c r="AV34" s="20"/>
      <c r="AW34" s="20"/>
      <c r="AX34" s="14"/>
      <c r="AY34" s="14"/>
      <c r="AZ34" s="14"/>
      <c r="BA34" s="14"/>
      <c r="BB34" s="14"/>
      <c r="BC34" s="16"/>
    </row>
    <row r="35" spans="1:54" s="323" customFormat="1" ht="20.25" hidden="1">
      <c r="A35" s="171"/>
      <c r="B35" s="172"/>
      <c r="C35" s="171"/>
      <c r="D35" s="172"/>
      <c r="E35" s="171"/>
      <c r="F35" s="171"/>
      <c r="G35" s="324"/>
      <c r="H35" s="324"/>
      <c r="I35" s="324"/>
      <c r="J35" s="324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4"/>
      <c r="X35" s="324"/>
      <c r="Z35" s="324"/>
      <c r="AA35" s="324"/>
      <c r="AB35" s="171"/>
      <c r="AC35" s="324"/>
      <c r="AD35" s="324"/>
      <c r="AE35" s="324"/>
      <c r="AF35" s="324"/>
      <c r="AG35" s="324"/>
      <c r="AH35" s="324"/>
      <c r="AI35" s="324"/>
      <c r="AJ35" s="171"/>
      <c r="AK35" s="326"/>
      <c r="AL35" s="171"/>
      <c r="AM35" s="324"/>
      <c r="AN35" s="327"/>
      <c r="AO35" s="324"/>
      <c r="AP35" s="328"/>
      <c r="AQ35" s="329"/>
      <c r="AR35" s="330"/>
      <c r="AS35" s="172"/>
      <c r="AT35" s="172"/>
      <c r="AU35" s="331"/>
      <c r="AV35" s="173"/>
      <c r="AW35" s="173"/>
      <c r="AX35" s="332"/>
      <c r="AY35" s="172"/>
      <c r="AZ35" s="172"/>
      <c r="BA35" s="172"/>
      <c r="BB35" s="172"/>
    </row>
    <row r="36" spans="1:54" s="323" customFormat="1" ht="20.25" hidden="1">
      <c r="A36" s="171"/>
      <c r="B36" s="172"/>
      <c r="C36" s="171"/>
      <c r="D36" s="172"/>
      <c r="E36" s="171"/>
      <c r="F36" s="171"/>
      <c r="G36" s="324"/>
      <c r="H36" s="324"/>
      <c r="I36" s="324"/>
      <c r="J36" s="324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4"/>
      <c r="X36" s="324"/>
      <c r="Z36" s="324"/>
      <c r="AA36" s="324"/>
      <c r="AB36" s="171"/>
      <c r="AC36" s="333"/>
      <c r="AD36" s="324"/>
      <c r="AE36" s="324"/>
      <c r="AF36" s="324"/>
      <c r="AG36" s="324"/>
      <c r="AH36" s="324"/>
      <c r="AI36" s="324"/>
      <c r="AJ36" s="171"/>
      <c r="AK36" s="326"/>
      <c r="AL36" s="171"/>
      <c r="AM36" s="324"/>
      <c r="AN36" s="327"/>
      <c r="AO36" s="324"/>
      <c r="AP36" s="328"/>
      <c r="AQ36" s="329"/>
      <c r="AR36" s="330"/>
      <c r="AS36" s="172"/>
      <c r="AT36" s="172"/>
      <c r="AU36" s="334"/>
      <c r="AV36" s="172"/>
      <c r="AW36" s="172"/>
      <c r="AX36" s="172"/>
      <c r="AY36" s="172"/>
      <c r="AZ36" s="172"/>
      <c r="BA36" s="172"/>
      <c r="BB36" s="172"/>
    </row>
    <row r="37" spans="1:54" s="323" customFormat="1" ht="20.25">
      <c r="A37" s="174"/>
      <c r="B37" s="275" t="s">
        <v>72</v>
      </c>
      <c r="C37" s="174"/>
      <c r="D37" s="172"/>
      <c r="E37" s="174"/>
      <c r="F37" s="174"/>
      <c r="G37" s="335"/>
      <c r="H37" s="335"/>
      <c r="I37" s="334"/>
      <c r="J37" s="334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34"/>
      <c r="X37" s="336"/>
      <c r="AB37" s="174"/>
      <c r="AC37" s="336"/>
      <c r="AJ37" s="174"/>
      <c r="AK37" s="337"/>
      <c r="AL37" s="338"/>
      <c r="AM37" s="339"/>
      <c r="AN37" s="340"/>
      <c r="AO37" s="341"/>
      <c r="AP37" s="328"/>
      <c r="AQ37" s="329"/>
      <c r="AR37" s="330"/>
      <c r="AS37" s="172"/>
      <c r="AT37" s="172"/>
      <c r="AU37" s="334"/>
      <c r="AV37" s="172"/>
      <c r="AW37" s="172"/>
      <c r="AX37" s="172"/>
      <c r="AY37" s="172"/>
      <c r="AZ37" s="172"/>
      <c r="BA37" s="172"/>
      <c r="BB37" s="172"/>
    </row>
    <row r="38" spans="1:54" s="323" customFormat="1" ht="15.75" customHeight="1">
      <c r="A38" s="175"/>
      <c r="B38" s="342"/>
      <c r="C38" s="611" t="s">
        <v>64</v>
      </c>
      <c r="D38" s="342"/>
      <c r="E38" s="343" t="s">
        <v>64</v>
      </c>
      <c r="F38" s="343"/>
      <c r="H38" s="343"/>
      <c r="I38" s="612" t="s">
        <v>65</v>
      </c>
      <c r="J38" s="612"/>
      <c r="K38" s="612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5"/>
      <c r="X38" s="346"/>
      <c r="Z38" s="324"/>
      <c r="AA38" s="343"/>
      <c r="AB38" s="175"/>
      <c r="AC38" s="347" t="s">
        <v>65</v>
      </c>
      <c r="AD38" s="343"/>
      <c r="AE38" s="343"/>
      <c r="AF38" s="343"/>
      <c r="AG38" s="343"/>
      <c r="AH38" s="343"/>
      <c r="AI38" s="343"/>
      <c r="AJ38" s="175"/>
      <c r="AK38" s="348"/>
      <c r="AL38" s="175"/>
      <c r="AM38" s="343"/>
      <c r="AN38" s="349"/>
      <c r="AO38" s="343"/>
      <c r="AP38" s="175"/>
      <c r="AQ38" s="350"/>
      <c r="AR38" s="330"/>
      <c r="AS38" s="172"/>
      <c r="AT38" s="172"/>
      <c r="AU38" s="334"/>
      <c r="AV38" s="172"/>
      <c r="AW38" s="172"/>
      <c r="AX38" s="172"/>
      <c r="AY38" s="172"/>
      <c r="AZ38" s="172"/>
      <c r="BA38" s="172"/>
      <c r="BB38" s="172"/>
    </row>
    <row r="39" spans="1:54" s="357" customFormat="1" ht="18.75">
      <c r="A39" s="169"/>
      <c r="B39" s="275"/>
      <c r="C39" s="611"/>
      <c r="D39" s="275"/>
      <c r="E39" s="169"/>
      <c r="F39" s="169"/>
      <c r="G39" s="288"/>
      <c r="H39" s="288"/>
      <c r="I39" s="288"/>
      <c r="J39" s="288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288"/>
      <c r="X39" s="288"/>
      <c r="Y39" s="288"/>
      <c r="Z39" s="288"/>
      <c r="AA39" s="288"/>
      <c r="AB39" s="352"/>
      <c r="AC39" s="288"/>
      <c r="AD39" s="288"/>
      <c r="AE39" s="288"/>
      <c r="AF39" s="288"/>
      <c r="AG39" s="288"/>
      <c r="AH39" s="288"/>
      <c r="AI39" s="288"/>
      <c r="AJ39" s="352"/>
      <c r="AK39" s="289"/>
      <c r="AL39" s="352"/>
      <c r="AM39" s="288"/>
      <c r="AN39" s="353"/>
      <c r="AO39" s="288"/>
      <c r="AP39" s="354"/>
      <c r="AQ39" s="355"/>
      <c r="AR39" s="356"/>
      <c r="AS39" s="170"/>
      <c r="AT39" s="170"/>
      <c r="AU39" s="275"/>
      <c r="AV39" s="170"/>
      <c r="AW39" s="170"/>
      <c r="AX39" s="170"/>
      <c r="AY39" s="170"/>
      <c r="AZ39" s="170"/>
      <c r="BA39" s="170"/>
      <c r="BB39" s="170"/>
    </row>
  </sheetData>
  <sheetProtection/>
  <mergeCells count="43">
    <mergeCell ref="AP13:AX13"/>
    <mergeCell ref="I14:I16"/>
    <mergeCell ref="J14:J16"/>
    <mergeCell ref="C6:AX6"/>
    <mergeCell ref="C7:AX7"/>
    <mergeCell ref="C8:AX8"/>
    <mergeCell ref="C9:AX9"/>
    <mergeCell ref="C10:AX10"/>
    <mergeCell ref="C11:AX11"/>
    <mergeCell ref="K14:K16"/>
    <mergeCell ref="B14:B16"/>
    <mergeCell ref="C14:C16"/>
    <mergeCell ref="D14:D16"/>
    <mergeCell ref="E14:E16"/>
    <mergeCell ref="G14:G16"/>
    <mergeCell ref="H14:H16"/>
    <mergeCell ref="F14:F16"/>
    <mergeCell ref="L14:M15"/>
    <mergeCell ref="N14:S14"/>
    <mergeCell ref="T14:T16"/>
    <mergeCell ref="U14:U16"/>
    <mergeCell ref="V14:W15"/>
    <mergeCell ref="R15:S15"/>
    <mergeCell ref="X14:Y15"/>
    <mergeCell ref="AD15:AE15"/>
    <mergeCell ref="AF15:AG15"/>
    <mergeCell ref="AH15:AI15"/>
    <mergeCell ref="AT15:AU15"/>
    <mergeCell ref="Z14:AA15"/>
    <mergeCell ref="AB14:AC15"/>
    <mergeCell ref="AD14:AI14"/>
    <mergeCell ref="AJ14:AK15"/>
    <mergeCell ref="AL14:AM15"/>
    <mergeCell ref="AN14:AO15"/>
    <mergeCell ref="AV15:BA15"/>
    <mergeCell ref="C31:H31"/>
    <mergeCell ref="C38:C39"/>
    <mergeCell ref="I38:K38"/>
    <mergeCell ref="AP14:AP15"/>
    <mergeCell ref="AQ14:AS15"/>
    <mergeCell ref="AT14:BA14"/>
    <mergeCell ref="N15:O15"/>
    <mergeCell ref="P15:Q15"/>
  </mergeCells>
  <printOptions/>
  <pageMargins left="0.2362204724409449" right="0.2362204724409449" top="0.7480314960629921" bottom="0.7480314960629921" header="0.31496062992125984" footer="0.31496062992125984"/>
  <pageSetup fitToHeight="0" fitToWidth="1" horizontalDpi="180" verticalDpi="180" orientation="landscape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3"/>
  <sheetViews>
    <sheetView view="pageBreakPreview" zoomScale="85" zoomScaleSheetLayoutView="85" zoomScalePageLayoutView="0" workbookViewId="0" topLeftCell="F9">
      <selection activeCell="O18" sqref="O18"/>
    </sheetView>
  </sheetViews>
  <sheetFormatPr defaultColWidth="9.140625" defaultRowHeight="15"/>
  <cols>
    <col min="1" max="1" width="3.140625" style="4" customWidth="1"/>
    <col min="2" max="2" width="6.28125" style="1" customWidth="1"/>
    <col min="3" max="3" width="23.00390625" style="4" customWidth="1"/>
    <col min="4" max="4" width="36.28125" style="4" customWidth="1"/>
    <col min="5" max="5" width="30.8515625" style="37" customWidth="1"/>
    <col min="6" max="6" width="38.7109375" style="37" customWidth="1"/>
    <col min="7" max="8" width="8.8515625" style="38" customWidth="1"/>
    <col min="9" max="9" width="16.7109375" style="38" customWidth="1"/>
    <col min="10" max="10" width="11.00390625" style="38" customWidth="1"/>
    <col min="11" max="11" width="12.57421875" style="38" customWidth="1"/>
    <col min="12" max="12" width="12.140625" style="38" customWidth="1"/>
    <col min="13" max="13" width="14.00390625" style="38" customWidth="1"/>
    <col min="14" max="14" width="8.8515625" style="38" customWidth="1"/>
    <col min="15" max="15" width="5.7109375" style="38" customWidth="1"/>
    <col min="16" max="16" width="8.8515625" style="38" customWidth="1"/>
    <col min="17" max="17" width="5.7109375" style="38" customWidth="1"/>
    <col min="18" max="18" width="8.8515625" style="38" customWidth="1"/>
    <col min="19" max="19" width="15.8515625" style="38" customWidth="1"/>
    <col min="20" max="21" width="15.8515625" style="39" customWidth="1"/>
    <col min="22" max="23" width="15.8515625" style="4" customWidth="1"/>
    <col min="24" max="24" width="12.57421875" style="37" customWidth="1"/>
    <col min="25" max="25" width="13.00390625" style="37" customWidth="1"/>
    <col min="26" max="26" width="8.7109375" style="37" customWidth="1"/>
    <col min="27" max="27" width="13.140625" style="37" customWidth="1"/>
    <col min="28" max="28" width="10.57421875" style="11" customWidth="1"/>
    <col min="29" max="29" width="13.00390625" style="4" customWidth="1"/>
    <col min="30" max="30" width="9.57421875" style="37" customWidth="1"/>
    <col min="31" max="31" width="11.57421875" style="37" customWidth="1"/>
    <col min="32" max="32" width="9.28125" style="37" customWidth="1"/>
    <col min="33" max="33" width="14.421875" style="37" customWidth="1"/>
    <col min="34" max="34" width="10.57421875" style="37" customWidth="1"/>
    <col min="35" max="35" width="13.00390625" style="37" customWidth="1"/>
    <col min="36" max="36" width="10.57421875" style="11" customWidth="1"/>
    <col min="37" max="37" width="14.140625" style="188" customWidth="1"/>
    <col min="38" max="38" width="10.57421875" style="11" customWidth="1"/>
    <col min="39" max="39" width="13.00390625" style="4" customWidth="1"/>
    <col min="40" max="40" width="16.00390625" style="189" customWidth="1"/>
    <col min="41" max="41" width="14.7109375" style="37" customWidth="1"/>
    <col min="42" max="42" width="11.57421875" style="57" customWidth="1"/>
    <col min="43" max="43" width="13.00390625" style="58" customWidth="1"/>
    <col min="44" max="44" width="14.8515625" style="38" customWidth="1"/>
    <col min="45" max="45" width="15.00390625" style="38" customWidth="1"/>
    <col min="46" max="46" width="10.57421875" style="12" customWidth="1"/>
    <col min="47" max="47" width="14.421875" style="1" customWidth="1"/>
    <col min="48" max="48" width="10.57421875" style="270" customWidth="1"/>
    <col min="49" max="49" width="11.28125" style="1" customWidth="1"/>
    <col min="50" max="50" width="12.00390625" style="1" customWidth="1"/>
    <col min="51" max="51" width="8.421875" style="1" customWidth="1"/>
    <col min="52" max="52" width="12.140625" style="1" customWidth="1"/>
    <col min="53" max="53" width="11.57421875" style="1" customWidth="1"/>
    <col min="54" max="54" width="14.421875" style="4" customWidth="1"/>
    <col min="55" max="55" width="5.7109375" style="4" customWidth="1"/>
    <col min="56" max="56" width="9.140625" style="4" customWidth="1"/>
    <col min="57" max="16384" width="9.140625" style="4" customWidth="1"/>
  </cols>
  <sheetData>
    <row r="1" spans="2:53" s="197" customFormat="1" ht="21.75" customHeight="1">
      <c r="B1" s="198"/>
      <c r="E1" s="199"/>
      <c r="F1" s="199"/>
      <c r="G1" s="29"/>
      <c r="H1" s="2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29"/>
      <c r="U1" s="29"/>
      <c r="V1" s="200"/>
      <c r="W1" s="200"/>
      <c r="X1" s="201"/>
      <c r="Y1" s="201"/>
      <c r="Z1" s="201"/>
      <c r="AA1" s="201"/>
      <c r="AB1" s="202"/>
      <c r="AD1" s="201"/>
      <c r="AE1" s="201"/>
      <c r="AF1" s="201"/>
      <c r="AG1" s="201"/>
      <c r="AH1" s="201"/>
      <c r="AI1" s="201"/>
      <c r="AJ1" s="202"/>
      <c r="AK1" s="203"/>
      <c r="AL1" s="204" t="s">
        <v>0</v>
      </c>
      <c r="AN1" s="205"/>
      <c r="AO1" s="201"/>
      <c r="AP1" s="206"/>
      <c r="AQ1" s="207"/>
      <c r="AR1" s="201"/>
      <c r="AS1" s="201"/>
      <c r="AT1" s="202"/>
      <c r="AV1" s="208"/>
      <c r="AW1" s="208"/>
      <c r="AX1" s="208"/>
      <c r="AY1" s="208"/>
      <c r="AZ1" s="208"/>
      <c r="BA1" s="208"/>
    </row>
    <row r="2" spans="2:53" s="197" customFormat="1" ht="15" customHeight="1">
      <c r="B2" s="198"/>
      <c r="E2" s="199"/>
      <c r="F2" s="199"/>
      <c r="G2" s="29"/>
      <c r="H2" s="2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29"/>
      <c r="U2" s="29"/>
      <c r="V2" s="200"/>
      <c r="W2" s="200"/>
      <c r="X2" s="201"/>
      <c r="Y2" s="201"/>
      <c r="Z2" s="201"/>
      <c r="AA2" s="201"/>
      <c r="AB2" s="202"/>
      <c r="AD2" s="201"/>
      <c r="AE2" s="201"/>
      <c r="AF2" s="201"/>
      <c r="AG2" s="201"/>
      <c r="AH2" s="201"/>
      <c r="AI2" s="201"/>
      <c r="AJ2" s="202"/>
      <c r="AK2" s="203"/>
      <c r="AL2" s="202" t="s">
        <v>1</v>
      </c>
      <c r="AN2" s="205"/>
      <c r="AO2" s="201"/>
      <c r="AP2" s="206"/>
      <c r="AQ2" s="207"/>
      <c r="AR2" s="201"/>
      <c r="AS2" s="201"/>
      <c r="AT2" s="202"/>
      <c r="AV2" s="208"/>
      <c r="AW2" s="208"/>
      <c r="AX2" s="208"/>
      <c r="AY2" s="208"/>
      <c r="AZ2" s="208"/>
      <c r="BA2" s="208"/>
    </row>
    <row r="3" spans="2:53" s="197" customFormat="1" ht="15.75">
      <c r="B3" s="198"/>
      <c r="E3" s="199"/>
      <c r="F3" s="199"/>
      <c r="G3" s="29"/>
      <c r="H3" s="2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9"/>
      <c r="U3" s="29"/>
      <c r="V3" s="200"/>
      <c r="W3" s="200"/>
      <c r="X3" s="201"/>
      <c r="Y3" s="201"/>
      <c r="Z3" s="201"/>
      <c r="AA3" s="201"/>
      <c r="AB3" s="202"/>
      <c r="AD3" s="201"/>
      <c r="AE3" s="201"/>
      <c r="AF3" s="201"/>
      <c r="AG3" s="201"/>
      <c r="AH3" s="201"/>
      <c r="AI3" s="201"/>
      <c r="AJ3" s="202"/>
      <c r="AK3" s="203"/>
      <c r="AL3" s="202" t="s">
        <v>2</v>
      </c>
      <c r="AN3" s="205"/>
      <c r="AO3" s="201"/>
      <c r="AP3" s="206"/>
      <c r="AQ3" s="207"/>
      <c r="AR3" s="201"/>
      <c r="AS3" s="201"/>
      <c r="AT3" s="202"/>
      <c r="AV3" s="208"/>
      <c r="AW3" s="208"/>
      <c r="AX3" s="208"/>
      <c r="AY3" s="208"/>
      <c r="AZ3" s="208"/>
      <c r="BA3" s="208"/>
    </row>
    <row r="4" spans="2:53" s="197" customFormat="1" ht="15.75">
      <c r="B4" s="198"/>
      <c r="E4" s="199"/>
      <c r="F4" s="199"/>
      <c r="G4" s="29"/>
      <c r="H4" s="2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9"/>
      <c r="U4" s="29"/>
      <c r="V4" s="200"/>
      <c r="W4" s="200"/>
      <c r="X4" s="201"/>
      <c r="Y4" s="201"/>
      <c r="Z4" s="201"/>
      <c r="AA4" s="201"/>
      <c r="AB4" s="202"/>
      <c r="AD4" s="201"/>
      <c r="AE4" s="201"/>
      <c r="AF4" s="201"/>
      <c r="AG4" s="201"/>
      <c r="AH4" s="201"/>
      <c r="AI4" s="201"/>
      <c r="AJ4" s="202"/>
      <c r="AK4" s="203"/>
      <c r="AL4" s="202" t="s">
        <v>3</v>
      </c>
      <c r="AN4" s="205"/>
      <c r="AO4" s="201"/>
      <c r="AP4" s="206"/>
      <c r="AQ4" s="207"/>
      <c r="AR4" s="201"/>
      <c r="AS4" s="201"/>
      <c r="AT4" s="202"/>
      <c r="AV4" s="208"/>
      <c r="AW4" s="208"/>
      <c r="AX4" s="208"/>
      <c r="AY4" s="208"/>
      <c r="AZ4" s="208"/>
      <c r="BA4" s="208"/>
    </row>
    <row r="5" spans="2:53" s="197" customFormat="1" ht="15.75" hidden="1">
      <c r="B5" s="198"/>
      <c r="E5" s="199"/>
      <c r="F5" s="199"/>
      <c r="G5" s="29"/>
      <c r="H5" s="2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29"/>
      <c r="U5" s="29"/>
      <c r="V5" s="200"/>
      <c r="W5" s="200"/>
      <c r="X5" s="201"/>
      <c r="Y5" s="201"/>
      <c r="Z5" s="201"/>
      <c r="AA5" s="201"/>
      <c r="AB5" s="202"/>
      <c r="AD5" s="201"/>
      <c r="AE5" s="201"/>
      <c r="AF5" s="201"/>
      <c r="AG5" s="201"/>
      <c r="AH5" s="201"/>
      <c r="AI5" s="201"/>
      <c r="AJ5" s="202"/>
      <c r="AK5" s="203"/>
      <c r="AL5" s="202"/>
      <c r="AN5" s="205"/>
      <c r="AO5" s="201"/>
      <c r="AP5" s="206"/>
      <c r="AQ5" s="207"/>
      <c r="AR5" s="201"/>
      <c r="AS5" s="201"/>
      <c r="AT5" s="202"/>
      <c r="AV5" s="208"/>
      <c r="AW5" s="208"/>
      <c r="AX5" s="208"/>
      <c r="AY5" s="208"/>
      <c r="AZ5" s="208"/>
      <c r="BA5" s="208"/>
    </row>
    <row r="6" spans="2:53" s="197" customFormat="1" ht="18.75">
      <c r="B6" s="198"/>
      <c r="C6" s="645" t="s">
        <v>4</v>
      </c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45"/>
      <c r="AA6" s="645"/>
      <c r="AB6" s="645"/>
      <c r="AC6" s="645"/>
      <c r="AD6" s="645"/>
      <c r="AE6" s="645"/>
      <c r="AF6" s="645"/>
      <c r="AG6" s="645"/>
      <c r="AH6" s="645"/>
      <c r="AI6" s="645"/>
      <c r="AJ6" s="645"/>
      <c r="AK6" s="645"/>
      <c r="AL6" s="645"/>
      <c r="AM6" s="645"/>
      <c r="AN6" s="645"/>
      <c r="AO6" s="645"/>
      <c r="AP6" s="645"/>
      <c r="AQ6" s="645"/>
      <c r="AR6" s="645"/>
      <c r="AS6" s="645"/>
      <c r="AT6" s="645"/>
      <c r="AU6" s="645"/>
      <c r="AV6" s="645"/>
      <c r="AW6" s="645"/>
      <c r="AX6" s="645"/>
      <c r="AY6" s="209"/>
      <c r="AZ6" s="209"/>
      <c r="BA6" s="209"/>
    </row>
    <row r="7" spans="2:53" s="197" customFormat="1" ht="18.75">
      <c r="B7" s="198"/>
      <c r="C7" s="646" t="s">
        <v>5</v>
      </c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6"/>
      <c r="AE7" s="646"/>
      <c r="AF7" s="646"/>
      <c r="AG7" s="646"/>
      <c r="AH7" s="646"/>
      <c r="AI7" s="646"/>
      <c r="AJ7" s="646"/>
      <c r="AK7" s="646"/>
      <c r="AL7" s="646"/>
      <c r="AM7" s="646"/>
      <c r="AN7" s="646"/>
      <c r="AO7" s="646"/>
      <c r="AP7" s="646"/>
      <c r="AQ7" s="646"/>
      <c r="AR7" s="646"/>
      <c r="AS7" s="646"/>
      <c r="AT7" s="646"/>
      <c r="AU7" s="646"/>
      <c r="AV7" s="646"/>
      <c r="AW7" s="646"/>
      <c r="AX7" s="646"/>
      <c r="AY7" s="210"/>
      <c r="AZ7" s="210"/>
      <c r="BA7" s="210"/>
    </row>
    <row r="8" spans="2:53" s="197" customFormat="1" ht="18.75">
      <c r="B8" s="198"/>
      <c r="C8" s="646" t="s">
        <v>6</v>
      </c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46"/>
      <c r="AQ8" s="646"/>
      <c r="AR8" s="646"/>
      <c r="AS8" s="646"/>
      <c r="AT8" s="646"/>
      <c r="AU8" s="646"/>
      <c r="AV8" s="646"/>
      <c r="AW8" s="646"/>
      <c r="AX8" s="646"/>
      <c r="AY8" s="210"/>
      <c r="AZ8" s="210"/>
      <c r="BA8" s="210"/>
    </row>
    <row r="9" spans="2:53" s="197" customFormat="1" ht="18.75">
      <c r="B9" s="211"/>
      <c r="C9" s="647" t="s">
        <v>82</v>
      </c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7"/>
      <c r="V9" s="647"/>
      <c r="W9" s="647"/>
      <c r="X9" s="647"/>
      <c r="Y9" s="647"/>
      <c r="Z9" s="647"/>
      <c r="AA9" s="647"/>
      <c r="AB9" s="647"/>
      <c r="AC9" s="647"/>
      <c r="AD9" s="647"/>
      <c r="AE9" s="647"/>
      <c r="AF9" s="647"/>
      <c r="AG9" s="647"/>
      <c r="AH9" s="647"/>
      <c r="AI9" s="647"/>
      <c r="AJ9" s="647"/>
      <c r="AK9" s="647"/>
      <c r="AL9" s="647"/>
      <c r="AM9" s="647"/>
      <c r="AN9" s="647"/>
      <c r="AO9" s="647"/>
      <c r="AP9" s="647"/>
      <c r="AQ9" s="647"/>
      <c r="AR9" s="647"/>
      <c r="AS9" s="647"/>
      <c r="AT9" s="647"/>
      <c r="AU9" s="647"/>
      <c r="AV9" s="647"/>
      <c r="AW9" s="647"/>
      <c r="AX9" s="647"/>
      <c r="AY9" s="212"/>
      <c r="AZ9" s="212"/>
      <c r="BA9" s="212"/>
    </row>
    <row r="10" spans="2:53" s="197" customFormat="1" ht="18.75">
      <c r="B10" s="211"/>
      <c r="C10" s="647" t="s">
        <v>97</v>
      </c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7"/>
      <c r="AT10" s="647"/>
      <c r="AU10" s="647"/>
      <c r="AV10" s="647"/>
      <c r="AW10" s="647"/>
      <c r="AX10" s="647"/>
      <c r="AY10" s="212"/>
      <c r="AZ10" s="212"/>
      <c r="BA10" s="212"/>
    </row>
    <row r="11" spans="2:53" s="213" customFormat="1" ht="18.75">
      <c r="B11" s="214"/>
      <c r="C11" s="648" t="s">
        <v>7</v>
      </c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648"/>
      <c r="AQ11" s="648"/>
      <c r="AR11" s="648"/>
      <c r="AS11" s="648"/>
      <c r="AT11" s="648"/>
      <c r="AU11" s="648"/>
      <c r="AV11" s="648"/>
      <c r="AW11" s="648"/>
      <c r="AX11" s="648"/>
      <c r="AY11" s="215"/>
      <c r="AZ11" s="215"/>
      <c r="BA11" s="215"/>
    </row>
    <row r="12" spans="3:53" ht="18.75" hidden="1">
      <c r="C12" s="216"/>
      <c r="D12" s="216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6"/>
      <c r="W12" s="216"/>
      <c r="X12" s="217"/>
      <c r="Y12" s="217"/>
      <c r="Z12" s="217"/>
      <c r="AA12" s="217"/>
      <c r="AB12" s="216"/>
      <c r="AC12" s="216"/>
      <c r="AD12" s="217"/>
      <c r="AE12" s="217"/>
      <c r="AF12" s="217"/>
      <c r="AG12" s="217"/>
      <c r="AH12" s="217"/>
      <c r="AI12" s="217"/>
      <c r="AJ12" s="216"/>
      <c r="AK12" s="218"/>
      <c r="AL12" s="216"/>
      <c r="AM12" s="216"/>
      <c r="AN12" s="219"/>
      <c r="AO12" s="217"/>
      <c r="AP12" s="220"/>
      <c r="AQ12" s="221"/>
      <c r="AR12" s="222"/>
      <c r="AS12" s="222"/>
      <c r="AT12" s="221"/>
      <c r="AU12" s="222"/>
      <c r="AV12" s="222"/>
      <c r="AW12" s="222"/>
      <c r="AX12" s="222"/>
      <c r="AY12" s="222"/>
      <c r="AZ12" s="222"/>
      <c r="BA12" s="222"/>
    </row>
    <row r="13" spans="3:53" ht="20.25" customHeight="1" hidden="1">
      <c r="C13" s="223"/>
      <c r="D13" s="223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3"/>
      <c r="W13" s="223"/>
      <c r="X13" s="224"/>
      <c r="Y13" s="224"/>
      <c r="Z13" s="224"/>
      <c r="AA13" s="224"/>
      <c r="AB13" s="223"/>
      <c r="AC13" s="223"/>
      <c r="AD13" s="224"/>
      <c r="AE13" s="224"/>
      <c r="AF13" s="224"/>
      <c r="AG13" s="224"/>
      <c r="AH13" s="224"/>
      <c r="AI13" s="224"/>
      <c r="AJ13" s="223"/>
      <c r="AK13" s="225"/>
      <c r="AL13" s="223"/>
      <c r="AM13" s="223"/>
      <c r="AN13" s="226"/>
      <c r="AO13" s="224"/>
      <c r="AP13" s="649"/>
      <c r="AQ13" s="649"/>
      <c r="AR13" s="649"/>
      <c r="AS13" s="649"/>
      <c r="AT13" s="649"/>
      <c r="AU13" s="649"/>
      <c r="AV13" s="649"/>
      <c r="AW13" s="649"/>
      <c r="AX13" s="649"/>
      <c r="AY13" s="227"/>
      <c r="AZ13" s="227"/>
      <c r="BA13" s="227"/>
    </row>
    <row r="14" spans="2:53" s="1" customFormat="1" ht="29.25" customHeight="1">
      <c r="B14" s="633" t="s">
        <v>8</v>
      </c>
      <c r="C14" s="626" t="s">
        <v>9</v>
      </c>
      <c r="D14" s="626" t="s">
        <v>10</v>
      </c>
      <c r="E14" s="650" t="s">
        <v>11</v>
      </c>
      <c r="F14" s="650" t="s">
        <v>102</v>
      </c>
      <c r="G14" s="653" t="s">
        <v>12</v>
      </c>
      <c r="H14" s="653" t="s">
        <v>13</v>
      </c>
      <c r="I14" s="650" t="s">
        <v>14</v>
      </c>
      <c r="J14" s="650" t="s">
        <v>15</v>
      </c>
      <c r="K14" s="650" t="s">
        <v>16</v>
      </c>
      <c r="L14" s="654" t="s">
        <v>119</v>
      </c>
      <c r="M14" s="654"/>
      <c r="N14" s="655" t="s">
        <v>17</v>
      </c>
      <c r="O14" s="656"/>
      <c r="P14" s="656"/>
      <c r="Q14" s="656"/>
      <c r="R14" s="656"/>
      <c r="S14" s="657"/>
      <c r="T14" s="658" t="s">
        <v>18</v>
      </c>
      <c r="U14" s="658" t="s">
        <v>19</v>
      </c>
      <c r="V14" s="629" t="s">
        <v>20</v>
      </c>
      <c r="W14" s="630"/>
      <c r="X14" s="661" t="s">
        <v>21</v>
      </c>
      <c r="Y14" s="662"/>
      <c r="Z14" s="661" t="s">
        <v>22</v>
      </c>
      <c r="AA14" s="662"/>
      <c r="AB14" s="606" t="s">
        <v>23</v>
      </c>
      <c r="AC14" s="606"/>
      <c r="AD14" s="665" t="s">
        <v>71</v>
      </c>
      <c r="AE14" s="665"/>
      <c r="AF14" s="665"/>
      <c r="AG14" s="665"/>
      <c r="AH14" s="665"/>
      <c r="AI14" s="665"/>
      <c r="AJ14" s="606" t="s">
        <v>91</v>
      </c>
      <c r="AK14" s="606"/>
      <c r="AL14" s="606" t="s">
        <v>92</v>
      </c>
      <c r="AM14" s="606"/>
      <c r="AN14" s="666" t="s">
        <v>98</v>
      </c>
      <c r="AO14" s="666"/>
      <c r="AP14" s="669" t="s">
        <v>24</v>
      </c>
      <c r="AQ14" s="666" t="s">
        <v>25</v>
      </c>
      <c r="AR14" s="665"/>
      <c r="AS14" s="665"/>
      <c r="AT14" s="615" t="s">
        <v>99</v>
      </c>
      <c r="AU14" s="616"/>
      <c r="AV14" s="616"/>
      <c r="AW14" s="616"/>
      <c r="AX14" s="616"/>
      <c r="AY14" s="616"/>
      <c r="AZ14" s="616"/>
      <c r="BA14" s="617"/>
    </row>
    <row r="15" spans="2:53" s="1" customFormat="1" ht="33.75" customHeight="1">
      <c r="B15" s="634"/>
      <c r="C15" s="627"/>
      <c r="D15" s="627"/>
      <c r="E15" s="651"/>
      <c r="F15" s="651"/>
      <c r="G15" s="653"/>
      <c r="H15" s="653"/>
      <c r="I15" s="651"/>
      <c r="J15" s="651"/>
      <c r="K15" s="651"/>
      <c r="L15" s="654"/>
      <c r="M15" s="654"/>
      <c r="N15" s="655" t="s">
        <v>26</v>
      </c>
      <c r="O15" s="657"/>
      <c r="P15" s="655" t="s">
        <v>86</v>
      </c>
      <c r="Q15" s="657"/>
      <c r="R15" s="655" t="s">
        <v>87</v>
      </c>
      <c r="S15" s="657"/>
      <c r="T15" s="659"/>
      <c r="U15" s="659"/>
      <c r="V15" s="631"/>
      <c r="W15" s="632"/>
      <c r="X15" s="663"/>
      <c r="Y15" s="664"/>
      <c r="Z15" s="663"/>
      <c r="AA15" s="664"/>
      <c r="AB15" s="606"/>
      <c r="AC15" s="606"/>
      <c r="AD15" s="654" t="s">
        <v>88</v>
      </c>
      <c r="AE15" s="654"/>
      <c r="AF15" s="654" t="s">
        <v>89</v>
      </c>
      <c r="AG15" s="654"/>
      <c r="AH15" s="654" t="s">
        <v>90</v>
      </c>
      <c r="AI15" s="654"/>
      <c r="AJ15" s="606"/>
      <c r="AK15" s="606"/>
      <c r="AL15" s="606"/>
      <c r="AM15" s="606"/>
      <c r="AN15" s="666"/>
      <c r="AO15" s="666"/>
      <c r="AP15" s="669"/>
      <c r="AQ15" s="665"/>
      <c r="AR15" s="665"/>
      <c r="AS15" s="665"/>
      <c r="AT15" s="614" t="s">
        <v>27</v>
      </c>
      <c r="AU15" s="614"/>
      <c r="AV15" s="607" t="s">
        <v>28</v>
      </c>
      <c r="AW15" s="608"/>
      <c r="AX15" s="608"/>
      <c r="AY15" s="608"/>
      <c r="AZ15" s="608"/>
      <c r="BA15" s="609"/>
    </row>
    <row r="16" spans="2:53" ht="48">
      <c r="B16" s="635"/>
      <c r="C16" s="628"/>
      <c r="D16" s="628"/>
      <c r="E16" s="652"/>
      <c r="F16" s="652"/>
      <c r="G16" s="653"/>
      <c r="H16" s="653"/>
      <c r="I16" s="652"/>
      <c r="J16" s="652"/>
      <c r="K16" s="652"/>
      <c r="L16" s="195" t="s">
        <v>29</v>
      </c>
      <c r="M16" s="195" t="s">
        <v>30</v>
      </c>
      <c r="N16" s="195" t="s">
        <v>29</v>
      </c>
      <c r="O16" s="195" t="s">
        <v>30</v>
      </c>
      <c r="P16" s="195" t="s">
        <v>29</v>
      </c>
      <c r="Q16" s="195" t="s">
        <v>30</v>
      </c>
      <c r="R16" s="195" t="s">
        <v>29</v>
      </c>
      <c r="S16" s="195" t="s">
        <v>30</v>
      </c>
      <c r="T16" s="660"/>
      <c r="U16" s="660"/>
      <c r="V16" s="2" t="s">
        <v>31</v>
      </c>
      <c r="W16" s="2" t="s">
        <v>32</v>
      </c>
      <c r="X16" s="47" t="s">
        <v>31</v>
      </c>
      <c r="Y16" s="47" t="s">
        <v>32</v>
      </c>
      <c r="Z16" s="47" t="s">
        <v>31</v>
      </c>
      <c r="AA16" s="47" t="s">
        <v>32</v>
      </c>
      <c r="AB16" s="196" t="s">
        <v>33</v>
      </c>
      <c r="AC16" s="196" t="s">
        <v>34</v>
      </c>
      <c r="AD16" s="50" t="s">
        <v>29</v>
      </c>
      <c r="AE16" s="50" t="s">
        <v>30</v>
      </c>
      <c r="AF16" s="50" t="s">
        <v>29</v>
      </c>
      <c r="AG16" s="50" t="s">
        <v>30</v>
      </c>
      <c r="AH16" s="50" t="s">
        <v>29</v>
      </c>
      <c r="AI16" s="50" t="s">
        <v>30</v>
      </c>
      <c r="AJ16" s="196" t="s">
        <v>33</v>
      </c>
      <c r="AK16" s="176" t="s">
        <v>34</v>
      </c>
      <c r="AL16" s="196" t="s">
        <v>33</v>
      </c>
      <c r="AM16" s="196" t="s">
        <v>34</v>
      </c>
      <c r="AN16" s="177" t="s">
        <v>33</v>
      </c>
      <c r="AO16" s="55" t="s">
        <v>34</v>
      </c>
      <c r="AP16" s="53" t="s">
        <v>33</v>
      </c>
      <c r="AQ16" s="194" t="s">
        <v>33</v>
      </c>
      <c r="AR16" s="194" t="s">
        <v>35</v>
      </c>
      <c r="AS16" s="194" t="s">
        <v>34</v>
      </c>
      <c r="AT16" s="196" t="s">
        <v>33</v>
      </c>
      <c r="AU16" s="196" t="s">
        <v>34</v>
      </c>
      <c r="AV16" s="158" t="s">
        <v>81</v>
      </c>
      <c r="AW16" s="159" t="s">
        <v>36</v>
      </c>
      <c r="AX16" s="159" t="s">
        <v>37</v>
      </c>
      <c r="AY16" s="159" t="s">
        <v>67</v>
      </c>
      <c r="AZ16" s="159" t="s">
        <v>66</v>
      </c>
      <c r="BA16" s="159" t="s">
        <v>38</v>
      </c>
    </row>
    <row r="17" spans="2:55" s="472" customFormat="1" ht="15.75">
      <c r="B17" s="473">
        <v>1</v>
      </c>
      <c r="C17" s="388" t="s">
        <v>44</v>
      </c>
      <c r="D17" s="474" t="s">
        <v>108</v>
      </c>
      <c r="E17" s="475" t="s">
        <v>110</v>
      </c>
      <c r="F17" s="476" t="s">
        <v>112</v>
      </c>
      <c r="G17" s="391" t="s">
        <v>47</v>
      </c>
      <c r="H17" s="391" t="s">
        <v>47</v>
      </c>
      <c r="I17" s="477">
        <v>168</v>
      </c>
      <c r="J17" s="477">
        <v>200</v>
      </c>
      <c r="K17" s="477">
        <v>429.52</v>
      </c>
      <c r="L17" s="391">
        <v>33600</v>
      </c>
      <c r="M17" s="557">
        <v>14431872</v>
      </c>
      <c r="N17" s="478"/>
      <c r="O17" s="478"/>
      <c r="P17" s="478"/>
      <c r="Q17" s="478"/>
      <c r="R17" s="478"/>
      <c r="S17" s="478"/>
      <c r="T17" s="479">
        <v>1121842</v>
      </c>
      <c r="U17" s="480">
        <v>44773</v>
      </c>
      <c r="V17" s="481">
        <v>309</v>
      </c>
      <c r="W17" s="482">
        <v>43873</v>
      </c>
      <c r="X17" s="481" t="s">
        <v>113</v>
      </c>
      <c r="Y17" s="482">
        <v>43878</v>
      </c>
      <c r="Z17" s="481"/>
      <c r="AA17" s="481"/>
      <c r="AB17" s="397">
        <v>0</v>
      </c>
      <c r="AC17" s="397">
        <v>0</v>
      </c>
      <c r="AD17" s="483"/>
      <c r="AE17" s="483"/>
      <c r="AF17" s="483">
        <v>2520</v>
      </c>
      <c r="AG17" s="483">
        <v>963704.25</v>
      </c>
      <c r="AH17" s="483"/>
      <c r="AI17" s="483"/>
      <c r="AJ17" s="400">
        <f aca="true" t="shared" si="0" ref="AJ17:AK22">AD17+AF17+AH17</f>
        <v>2520</v>
      </c>
      <c r="AK17" s="403">
        <f t="shared" si="0"/>
        <v>963704.25</v>
      </c>
      <c r="AL17" s="503">
        <f>AB17+AJ17-AT17</f>
        <v>0</v>
      </c>
      <c r="AM17" s="403">
        <f>AC17+AG17-AS17</f>
        <v>963704.25</v>
      </c>
      <c r="AN17" s="504">
        <v>0</v>
      </c>
      <c r="AO17" s="505">
        <v>0</v>
      </c>
      <c r="AP17" s="403">
        <v>2520</v>
      </c>
      <c r="AQ17" s="403"/>
      <c r="AR17" s="403">
        <v>382.422321428</v>
      </c>
      <c r="AS17" s="401">
        <f>AQ17*AR17</f>
        <v>0</v>
      </c>
      <c r="AT17" s="511">
        <f>SUM(AV17:BA17)</f>
        <v>2520</v>
      </c>
      <c r="AU17" s="403">
        <f>AR17*AT17</f>
        <v>963704.24999856</v>
      </c>
      <c r="AV17" s="514">
        <v>2520</v>
      </c>
      <c r="AW17" s="506"/>
      <c r="AX17" s="506"/>
      <c r="AY17" s="506"/>
      <c r="AZ17" s="506"/>
      <c r="BA17" s="506"/>
      <c r="BB17" s="407">
        <f>AB17+AJ17-AL17</f>
        <v>2520</v>
      </c>
      <c r="BC17" s="407">
        <f>BB17-AT17</f>
        <v>0</v>
      </c>
    </row>
    <row r="18" spans="2:55" s="484" customFormat="1" ht="15.75">
      <c r="B18" s="485">
        <v>2</v>
      </c>
      <c r="C18" s="486" t="s">
        <v>44</v>
      </c>
      <c r="D18" s="487" t="s">
        <v>109</v>
      </c>
      <c r="E18" s="488" t="s">
        <v>111</v>
      </c>
      <c r="F18" s="489" t="s">
        <v>112</v>
      </c>
      <c r="G18" s="490" t="s">
        <v>47</v>
      </c>
      <c r="H18" s="490" t="s">
        <v>47</v>
      </c>
      <c r="I18" s="491">
        <v>168</v>
      </c>
      <c r="J18" s="491">
        <v>200</v>
      </c>
      <c r="K18" s="491">
        <v>37.37</v>
      </c>
      <c r="L18" s="490">
        <v>33600</v>
      </c>
      <c r="M18" s="558">
        <v>1255632</v>
      </c>
      <c r="N18" s="492"/>
      <c r="O18" s="492"/>
      <c r="P18" s="492"/>
      <c r="Q18" s="492"/>
      <c r="R18" s="492"/>
      <c r="S18" s="492"/>
      <c r="T18" s="493">
        <v>1121711</v>
      </c>
      <c r="U18" s="494">
        <v>44712</v>
      </c>
      <c r="V18" s="495">
        <v>309</v>
      </c>
      <c r="W18" s="496">
        <v>43873</v>
      </c>
      <c r="X18" s="495" t="s">
        <v>113</v>
      </c>
      <c r="Y18" s="496">
        <v>43878</v>
      </c>
      <c r="Z18" s="495"/>
      <c r="AA18" s="495"/>
      <c r="AB18" s="497">
        <v>0</v>
      </c>
      <c r="AC18" s="497">
        <v>0</v>
      </c>
      <c r="AD18" s="498"/>
      <c r="AE18" s="498"/>
      <c r="AF18" s="498">
        <v>2520</v>
      </c>
      <c r="AG18" s="498">
        <v>83795.85</v>
      </c>
      <c r="AH18" s="498"/>
      <c r="AI18" s="498"/>
      <c r="AJ18" s="499">
        <f t="shared" si="0"/>
        <v>2520</v>
      </c>
      <c r="AK18" s="500">
        <f t="shared" si="0"/>
        <v>83795.85</v>
      </c>
      <c r="AL18" s="507">
        <f>AB18+AJ18-AT18</f>
        <v>0</v>
      </c>
      <c r="AM18" s="500">
        <f>AC18+AG18-AS18</f>
        <v>83795.85</v>
      </c>
      <c r="AN18" s="508">
        <v>0</v>
      </c>
      <c r="AO18" s="509">
        <v>0</v>
      </c>
      <c r="AP18" s="500">
        <v>2520</v>
      </c>
      <c r="AQ18" s="500"/>
      <c r="AR18" s="500">
        <v>33.252321429</v>
      </c>
      <c r="AS18" s="501">
        <f>AQ18*AR18</f>
        <v>0</v>
      </c>
      <c r="AT18" s="512">
        <f>SUM(AV18:BA18)</f>
        <v>2520</v>
      </c>
      <c r="AU18" s="500">
        <f>AR18*AT18</f>
        <v>83795.85000107999</v>
      </c>
      <c r="AV18" s="515">
        <v>2520</v>
      </c>
      <c r="AW18" s="510"/>
      <c r="AX18" s="510"/>
      <c r="AY18" s="510"/>
      <c r="AZ18" s="510"/>
      <c r="BA18" s="510"/>
      <c r="BB18" s="502">
        <f>AB18+AJ18-AL18</f>
        <v>2520</v>
      </c>
      <c r="BC18" s="502">
        <f>BB18-AT18</f>
        <v>0</v>
      </c>
    </row>
    <row r="19" spans="2:55" s="144" customFormat="1" ht="15.75">
      <c r="B19" s="365">
        <v>3</v>
      </c>
      <c r="C19" s="131" t="s">
        <v>44</v>
      </c>
      <c r="D19" s="145" t="s">
        <v>75</v>
      </c>
      <c r="E19" s="470" t="s">
        <v>69</v>
      </c>
      <c r="F19" s="471" t="s">
        <v>104</v>
      </c>
      <c r="G19" s="134" t="s">
        <v>47</v>
      </c>
      <c r="H19" s="134" t="s">
        <v>47</v>
      </c>
      <c r="I19" s="561">
        <v>84</v>
      </c>
      <c r="J19" s="561">
        <v>895</v>
      </c>
      <c r="K19" s="559">
        <v>249.07</v>
      </c>
      <c r="L19" s="562">
        <f>I19*J19</f>
        <v>75180</v>
      </c>
      <c r="M19" s="559">
        <f>K19*L19</f>
        <v>18725082.599999998</v>
      </c>
      <c r="N19" s="135"/>
      <c r="O19" s="135"/>
      <c r="P19" s="135"/>
      <c r="Q19" s="135"/>
      <c r="R19" s="135"/>
      <c r="S19" s="135"/>
      <c r="T19" s="132">
        <v>3098197</v>
      </c>
      <c r="U19" s="136">
        <v>44104</v>
      </c>
      <c r="V19" s="137">
        <v>1571</v>
      </c>
      <c r="W19" s="138">
        <v>43654</v>
      </c>
      <c r="X19" s="137" t="s">
        <v>76</v>
      </c>
      <c r="Y19" s="138">
        <v>43668</v>
      </c>
      <c r="Z19" s="137"/>
      <c r="AA19" s="137"/>
      <c r="AB19" s="139">
        <v>1064</v>
      </c>
      <c r="AC19" s="139">
        <v>33679.779999544</v>
      </c>
      <c r="AD19" s="140"/>
      <c r="AE19" s="140"/>
      <c r="AF19" s="140"/>
      <c r="AG19" s="140"/>
      <c r="AH19" s="140"/>
      <c r="AI19" s="140"/>
      <c r="AJ19" s="141">
        <f t="shared" si="0"/>
        <v>0</v>
      </c>
      <c r="AK19" s="178">
        <f t="shared" si="0"/>
        <v>0</v>
      </c>
      <c r="AL19" s="141">
        <f>AB19+AJ19-AT19</f>
        <v>588</v>
      </c>
      <c r="AM19" s="142">
        <f>AC19+AG19-AS19</f>
        <v>33679.779999544</v>
      </c>
      <c r="AN19" s="179">
        <v>476</v>
      </c>
      <c r="AO19" s="142">
        <v>15067.269999796</v>
      </c>
      <c r="AP19" s="143"/>
      <c r="AQ19" s="139"/>
      <c r="AR19" s="139">
        <v>31.653928571</v>
      </c>
      <c r="AS19" s="142">
        <f>AQ19*AR19</f>
        <v>0</v>
      </c>
      <c r="AT19" s="141">
        <f>SUM(AV19:BA19)</f>
        <v>476</v>
      </c>
      <c r="AU19" s="142">
        <f>AR19*AT19</f>
        <v>15067.269999796</v>
      </c>
      <c r="AV19" s="139">
        <f>1064-1064</f>
        <v>0</v>
      </c>
      <c r="AW19" s="131"/>
      <c r="AX19" s="131">
        <f>1064-588</f>
        <v>476</v>
      </c>
      <c r="AY19" s="131"/>
      <c r="AZ19" s="131"/>
      <c r="BA19" s="131"/>
      <c r="BB19" s="78">
        <f>AB19+AJ19-AL19</f>
        <v>476</v>
      </c>
      <c r="BC19" s="79">
        <f>BB19-AT19</f>
        <v>0</v>
      </c>
    </row>
    <row r="20" spans="2:55" s="144" customFormat="1" ht="15.75">
      <c r="B20" s="365">
        <v>4</v>
      </c>
      <c r="C20" s="131" t="s">
        <v>44</v>
      </c>
      <c r="D20" s="145" t="s">
        <v>95</v>
      </c>
      <c r="E20" s="470" t="s">
        <v>69</v>
      </c>
      <c r="F20" s="471" t="s">
        <v>104</v>
      </c>
      <c r="G20" s="134" t="s">
        <v>47</v>
      </c>
      <c r="H20" s="134" t="s">
        <v>47</v>
      </c>
      <c r="I20" s="133"/>
      <c r="J20" s="133"/>
      <c r="K20" s="133"/>
      <c r="L20" s="134"/>
      <c r="M20" s="559"/>
      <c r="N20" s="135"/>
      <c r="O20" s="135"/>
      <c r="P20" s="135"/>
      <c r="Q20" s="135"/>
      <c r="R20" s="135"/>
      <c r="S20" s="135"/>
      <c r="T20" s="132">
        <v>3106643</v>
      </c>
      <c r="U20" s="136">
        <v>44377</v>
      </c>
      <c r="V20" s="137">
        <v>79</v>
      </c>
      <c r="W20" s="138">
        <v>43845</v>
      </c>
      <c r="X20" s="137" t="s">
        <v>96</v>
      </c>
      <c r="Y20" s="138">
        <v>43857</v>
      </c>
      <c r="Z20" s="137"/>
      <c r="AA20" s="137"/>
      <c r="AB20" s="139">
        <v>0</v>
      </c>
      <c r="AC20" s="139">
        <v>0</v>
      </c>
      <c r="AD20" s="140">
        <v>588</v>
      </c>
      <c r="AE20" s="140">
        <v>18847.29</v>
      </c>
      <c r="AF20" s="140"/>
      <c r="AG20" s="140"/>
      <c r="AH20" s="140"/>
      <c r="AI20" s="140"/>
      <c r="AJ20" s="141">
        <f t="shared" si="0"/>
        <v>588</v>
      </c>
      <c r="AK20" s="178">
        <f t="shared" si="0"/>
        <v>18847.29</v>
      </c>
      <c r="AL20" s="141">
        <f>AB20+AJ20-AT20</f>
        <v>0</v>
      </c>
      <c r="AM20" s="142">
        <f>AC20+AG20-AS20</f>
        <v>0</v>
      </c>
      <c r="AN20" s="179">
        <v>588</v>
      </c>
      <c r="AO20" s="142">
        <v>18847.290000168</v>
      </c>
      <c r="AP20" s="143"/>
      <c r="AQ20" s="139"/>
      <c r="AR20" s="139">
        <v>32.053214286</v>
      </c>
      <c r="AS20" s="142">
        <f>AQ20*AR20</f>
        <v>0</v>
      </c>
      <c r="AT20" s="141">
        <f aca="true" t="shared" si="1" ref="AT20:AT31">SUM(AV20:BA20)</f>
        <v>588</v>
      </c>
      <c r="AU20" s="142">
        <f>AR20*AT20</f>
        <v>18847.290000168</v>
      </c>
      <c r="AV20" s="139">
        <f>588-588</f>
        <v>0</v>
      </c>
      <c r="AW20" s="131"/>
      <c r="AX20" s="131">
        <f>588</f>
        <v>588</v>
      </c>
      <c r="AY20" s="131"/>
      <c r="AZ20" s="131"/>
      <c r="BA20" s="131"/>
      <c r="BB20" s="78">
        <f>AB20+AJ20-AL20</f>
        <v>588</v>
      </c>
      <c r="BC20" s="79">
        <f>BB20-AT20</f>
        <v>0</v>
      </c>
    </row>
    <row r="21" spans="2:55" s="520" customFormat="1" ht="15.75">
      <c r="B21" s="521"/>
      <c r="C21" s="522"/>
      <c r="D21" s="523" t="s">
        <v>117</v>
      </c>
      <c r="E21" s="540" t="s">
        <v>39</v>
      </c>
      <c r="F21" s="524"/>
      <c r="G21" s="525" t="s">
        <v>118</v>
      </c>
      <c r="H21" s="525" t="s">
        <v>118</v>
      </c>
      <c r="I21" s="526">
        <v>504</v>
      </c>
      <c r="J21" s="526">
        <v>895</v>
      </c>
      <c r="K21" s="526">
        <v>2.79</v>
      </c>
      <c r="L21" s="525">
        <v>451080</v>
      </c>
      <c r="M21" s="560">
        <v>1258513.2</v>
      </c>
      <c r="N21" s="527"/>
      <c r="O21" s="527"/>
      <c r="P21" s="527"/>
      <c r="Q21" s="527"/>
      <c r="R21" s="527"/>
      <c r="S21" s="527"/>
      <c r="T21" s="528"/>
      <c r="U21" s="529"/>
      <c r="V21" s="530"/>
      <c r="W21" s="531"/>
      <c r="X21" s="530"/>
      <c r="Y21" s="531"/>
      <c r="Z21" s="530"/>
      <c r="AA21" s="530"/>
      <c r="AB21" s="532"/>
      <c r="AC21" s="532"/>
      <c r="AD21" s="533"/>
      <c r="AE21" s="533"/>
      <c r="AF21" s="533"/>
      <c r="AG21" s="533"/>
      <c r="AH21" s="533"/>
      <c r="AI21" s="533"/>
      <c r="AJ21" s="534"/>
      <c r="AK21" s="535"/>
      <c r="AL21" s="534"/>
      <c r="AM21" s="536"/>
      <c r="AN21" s="537"/>
      <c r="AO21" s="536"/>
      <c r="AP21" s="538"/>
      <c r="AQ21" s="532"/>
      <c r="AR21" s="532"/>
      <c r="AS21" s="536"/>
      <c r="AT21" s="534"/>
      <c r="AU21" s="536"/>
      <c r="AV21" s="532"/>
      <c r="AW21" s="522"/>
      <c r="AX21" s="522"/>
      <c r="AY21" s="522"/>
      <c r="AZ21" s="522"/>
      <c r="BA21" s="522"/>
      <c r="BB21" s="539"/>
      <c r="BC21" s="539"/>
    </row>
    <row r="22" spans="2:55" s="228" customFormat="1" ht="15.75">
      <c r="B22" s="387">
        <v>5</v>
      </c>
      <c r="C22" s="64" t="s">
        <v>44</v>
      </c>
      <c r="D22" s="65" t="s">
        <v>41</v>
      </c>
      <c r="E22" s="66" t="s">
        <v>42</v>
      </c>
      <c r="F22" s="390" t="s">
        <v>103</v>
      </c>
      <c r="G22" s="67" t="s">
        <v>43</v>
      </c>
      <c r="H22" s="67" t="s">
        <v>43</v>
      </c>
      <c r="I22" s="541">
        <v>24</v>
      </c>
      <c r="J22" s="541">
        <v>152</v>
      </c>
      <c r="K22" s="542">
        <v>2509.02</v>
      </c>
      <c r="L22" s="543">
        <v>3648</v>
      </c>
      <c r="M22" s="542">
        <v>9152904.96</v>
      </c>
      <c r="N22" s="68"/>
      <c r="O22" s="69"/>
      <c r="P22" s="68"/>
      <c r="Q22" s="69"/>
      <c r="R22" s="68"/>
      <c r="S22" s="69"/>
      <c r="T22" s="64" t="s">
        <v>45</v>
      </c>
      <c r="U22" s="70">
        <v>44682</v>
      </c>
      <c r="V22" s="71">
        <v>1865</v>
      </c>
      <c r="W22" s="72">
        <v>43390</v>
      </c>
      <c r="X22" s="71" t="s">
        <v>46</v>
      </c>
      <c r="Y22" s="73">
        <v>43395</v>
      </c>
      <c r="Z22" s="71"/>
      <c r="AA22" s="73"/>
      <c r="AB22" s="76">
        <v>3</v>
      </c>
      <c r="AC22" s="74">
        <v>8009.88</v>
      </c>
      <c r="AD22" s="75"/>
      <c r="AE22" s="74"/>
      <c r="AF22" s="75"/>
      <c r="AG22" s="74"/>
      <c r="AH22" s="75"/>
      <c r="AI22" s="74"/>
      <c r="AJ22" s="76">
        <f t="shared" si="0"/>
        <v>0</v>
      </c>
      <c r="AK22" s="180">
        <f t="shared" si="0"/>
        <v>0</v>
      </c>
      <c r="AL22" s="76">
        <f aca="true" t="shared" si="2" ref="AL22:AM34">AB22+AJ22-AT22</f>
        <v>3</v>
      </c>
      <c r="AM22" s="74">
        <f>AC22+AK22-AU22</f>
        <v>8009.88</v>
      </c>
      <c r="AN22" s="181">
        <v>0</v>
      </c>
      <c r="AO22" s="74">
        <v>0</v>
      </c>
      <c r="AP22" s="77"/>
      <c r="AQ22" s="76"/>
      <c r="AR22" s="74">
        <v>2669.96</v>
      </c>
      <c r="AS22" s="74">
        <f aca="true" t="shared" si="3" ref="AS22:AS34">AQ22*AR22</f>
        <v>0</v>
      </c>
      <c r="AT22" s="76">
        <f t="shared" si="1"/>
        <v>0</v>
      </c>
      <c r="AU22" s="74">
        <f aca="true" t="shared" si="4" ref="AU22:AU31">AR22*AT22</f>
        <v>0</v>
      </c>
      <c r="AV22" s="76">
        <f>16-12-4</f>
        <v>0</v>
      </c>
      <c r="AW22" s="76">
        <v>0</v>
      </c>
      <c r="AX22" s="76">
        <f>4-1-3</f>
        <v>0</v>
      </c>
      <c r="AY22" s="76"/>
      <c r="AZ22" s="76"/>
      <c r="BA22" s="76"/>
      <c r="BB22" s="78">
        <f aca="true" t="shared" si="5" ref="BB22:BB37">AB22+AJ22-AL22</f>
        <v>0</v>
      </c>
      <c r="BC22" s="79">
        <f aca="true" t="shared" si="6" ref="BC22:BC37">BB22-AT22</f>
        <v>0</v>
      </c>
    </row>
    <row r="23" spans="2:55" s="229" customFormat="1" ht="15.75">
      <c r="B23" s="431">
        <v>6</v>
      </c>
      <c r="C23" s="80" t="s">
        <v>44</v>
      </c>
      <c r="D23" s="81" t="s">
        <v>68</v>
      </c>
      <c r="E23" s="82" t="s">
        <v>69</v>
      </c>
      <c r="F23" s="432" t="s">
        <v>104</v>
      </c>
      <c r="G23" s="83" t="s">
        <v>47</v>
      </c>
      <c r="H23" s="83" t="s">
        <v>47</v>
      </c>
      <c r="I23" s="544"/>
      <c r="J23" s="544"/>
      <c r="K23" s="545"/>
      <c r="L23" s="546"/>
      <c r="M23" s="545"/>
      <c r="N23" s="84"/>
      <c r="O23" s="87"/>
      <c r="P23" s="84"/>
      <c r="Q23" s="87"/>
      <c r="R23" s="84"/>
      <c r="S23" s="87"/>
      <c r="T23" s="80">
        <v>3093642</v>
      </c>
      <c r="U23" s="88">
        <v>44196</v>
      </c>
      <c r="V23" s="89">
        <v>1024</v>
      </c>
      <c r="W23" s="90">
        <v>43589</v>
      </c>
      <c r="X23" s="89" t="s">
        <v>70</v>
      </c>
      <c r="Y23" s="91">
        <v>43598</v>
      </c>
      <c r="Z23" s="89"/>
      <c r="AA23" s="91"/>
      <c r="AB23" s="92">
        <v>84</v>
      </c>
      <c r="AC23" s="93">
        <v>1632.630000036</v>
      </c>
      <c r="AD23" s="94"/>
      <c r="AE23" s="93"/>
      <c r="AF23" s="92"/>
      <c r="AG23" s="93"/>
      <c r="AH23" s="94"/>
      <c r="AI23" s="93"/>
      <c r="AJ23" s="92">
        <f aca="true" t="shared" si="7" ref="AJ23:AJ34">AD23+AF23+AH23</f>
        <v>0</v>
      </c>
      <c r="AK23" s="182">
        <f aca="true" t="shared" si="8" ref="AK23:AK31">AI23+AG23+AE23</f>
        <v>0</v>
      </c>
      <c r="AL23" s="92">
        <f t="shared" si="2"/>
        <v>84</v>
      </c>
      <c r="AM23" s="93">
        <f t="shared" si="2"/>
        <v>1632.630000036</v>
      </c>
      <c r="AN23" s="183">
        <v>0</v>
      </c>
      <c r="AO23" s="93">
        <v>0</v>
      </c>
      <c r="AP23" s="95"/>
      <c r="AQ23" s="92"/>
      <c r="AR23" s="93">
        <v>19.436071429</v>
      </c>
      <c r="AS23" s="93">
        <f aca="true" t="shared" si="9" ref="AS23:AS28">AR23*AQ23</f>
        <v>0</v>
      </c>
      <c r="AT23" s="92">
        <f t="shared" si="1"/>
        <v>0</v>
      </c>
      <c r="AU23" s="93">
        <f t="shared" si="4"/>
        <v>0</v>
      </c>
      <c r="AV23" s="92">
        <f>2156-1008-1148</f>
        <v>0</v>
      </c>
      <c r="AW23" s="92"/>
      <c r="AX23" s="92">
        <f>1008-168-336-364+1148-252-476-476-84</f>
        <v>0</v>
      </c>
      <c r="AY23" s="92"/>
      <c r="AZ23" s="92"/>
      <c r="BA23" s="92"/>
      <c r="BB23" s="96">
        <f t="shared" si="5"/>
        <v>0</v>
      </c>
      <c r="BC23" s="79">
        <f t="shared" si="6"/>
        <v>0</v>
      </c>
    </row>
    <row r="24" spans="2:55" s="469" customFormat="1" ht="15.75">
      <c r="B24" s="409">
        <v>7</v>
      </c>
      <c r="C24" s="410" t="s">
        <v>44</v>
      </c>
      <c r="D24" s="411" t="s">
        <v>83</v>
      </c>
      <c r="E24" s="468" t="s">
        <v>69</v>
      </c>
      <c r="F24" s="412" t="s">
        <v>104</v>
      </c>
      <c r="G24" s="413" t="s">
        <v>47</v>
      </c>
      <c r="H24" s="413" t="s">
        <v>47</v>
      </c>
      <c r="I24" s="547"/>
      <c r="J24" s="547"/>
      <c r="K24" s="548"/>
      <c r="L24" s="549"/>
      <c r="M24" s="548"/>
      <c r="N24" s="414"/>
      <c r="O24" s="417"/>
      <c r="P24" s="414"/>
      <c r="Q24" s="417"/>
      <c r="R24" s="414"/>
      <c r="S24" s="417"/>
      <c r="T24" s="410">
        <v>3100242</v>
      </c>
      <c r="U24" s="418">
        <v>44316</v>
      </c>
      <c r="V24" s="419">
        <v>1569</v>
      </c>
      <c r="W24" s="420">
        <v>43654</v>
      </c>
      <c r="X24" s="419" t="s">
        <v>73</v>
      </c>
      <c r="Y24" s="421">
        <v>43668</v>
      </c>
      <c r="Z24" s="419"/>
      <c r="AA24" s="421"/>
      <c r="AB24" s="422">
        <v>308</v>
      </c>
      <c r="AC24" s="423">
        <v>28643.340000044</v>
      </c>
      <c r="AD24" s="424"/>
      <c r="AE24" s="423"/>
      <c r="AF24" s="422"/>
      <c r="AG24" s="423"/>
      <c r="AH24" s="424"/>
      <c r="AI24" s="423"/>
      <c r="AJ24" s="422">
        <f t="shared" si="7"/>
        <v>0</v>
      </c>
      <c r="AK24" s="425">
        <f t="shared" si="8"/>
        <v>0</v>
      </c>
      <c r="AL24" s="422">
        <f t="shared" si="2"/>
        <v>308</v>
      </c>
      <c r="AM24" s="423">
        <f t="shared" si="2"/>
        <v>28643.340000044</v>
      </c>
      <c r="AN24" s="426">
        <v>0</v>
      </c>
      <c r="AO24" s="423">
        <v>0</v>
      </c>
      <c r="AP24" s="427"/>
      <c r="AQ24" s="422"/>
      <c r="AR24" s="423">
        <v>92.997857143</v>
      </c>
      <c r="AS24" s="423">
        <f t="shared" si="9"/>
        <v>0</v>
      </c>
      <c r="AT24" s="422">
        <f t="shared" si="1"/>
        <v>0</v>
      </c>
      <c r="AU24" s="423">
        <f t="shared" si="4"/>
        <v>0</v>
      </c>
      <c r="AV24" s="422">
        <v>0</v>
      </c>
      <c r="AW24" s="422"/>
      <c r="AX24" s="422">
        <f>308-308</f>
        <v>0</v>
      </c>
      <c r="AY24" s="422"/>
      <c r="AZ24" s="422"/>
      <c r="BA24" s="422"/>
      <c r="BB24" s="429">
        <f t="shared" si="5"/>
        <v>0</v>
      </c>
      <c r="BC24" s="429">
        <f t="shared" si="6"/>
        <v>0</v>
      </c>
    </row>
    <row r="25" spans="2:55" s="469" customFormat="1" ht="15.75">
      <c r="B25" s="409">
        <v>8</v>
      </c>
      <c r="C25" s="410" t="s">
        <v>44</v>
      </c>
      <c r="D25" s="411" t="s">
        <v>83</v>
      </c>
      <c r="E25" s="468" t="s">
        <v>69</v>
      </c>
      <c r="F25" s="412" t="s">
        <v>104</v>
      </c>
      <c r="G25" s="413" t="s">
        <v>47</v>
      </c>
      <c r="H25" s="413" t="s">
        <v>47</v>
      </c>
      <c r="I25" s="547"/>
      <c r="J25" s="547"/>
      <c r="K25" s="548"/>
      <c r="L25" s="549"/>
      <c r="M25" s="548"/>
      <c r="N25" s="414"/>
      <c r="O25" s="417"/>
      <c r="P25" s="414"/>
      <c r="Q25" s="417"/>
      <c r="R25" s="414"/>
      <c r="S25" s="417"/>
      <c r="T25" s="410">
        <v>3100059</v>
      </c>
      <c r="U25" s="418">
        <v>44316</v>
      </c>
      <c r="V25" s="419">
        <v>1613</v>
      </c>
      <c r="W25" s="420">
        <v>43658</v>
      </c>
      <c r="X25" s="419" t="s">
        <v>74</v>
      </c>
      <c r="Y25" s="421">
        <v>43668</v>
      </c>
      <c r="Z25" s="419"/>
      <c r="AA25" s="421"/>
      <c r="AB25" s="422">
        <v>2492</v>
      </c>
      <c r="AC25" s="423">
        <v>237309.59999857598</v>
      </c>
      <c r="AD25" s="424"/>
      <c r="AE25" s="423"/>
      <c r="AF25" s="422"/>
      <c r="AG25" s="423"/>
      <c r="AH25" s="424"/>
      <c r="AI25" s="423"/>
      <c r="AJ25" s="422">
        <f t="shared" si="7"/>
        <v>0</v>
      </c>
      <c r="AK25" s="425">
        <f t="shared" si="8"/>
        <v>0</v>
      </c>
      <c r="AL25" s="422">
        <f t="shared" si="2"/>
        <v>336</v>
      </c>
      <c r="AM25" s="423">
        <f t="shared" si="2"/>
        <v>31996.79999980799</v>
      </c>
      <c r="AN25" s="426">
        <v>2184</v>
      </c>
      <c r="AO25" s="423">
        <v>207979.19999875198</v>
      </c>
      <c r="AP25" s="427"/>
      <c r="AQ25" s="422">
        <v>28</v>
      </c>
      <c r="AR25" s="423">
        <v>95.228571428</v>
      </c>
      <c r="AS25" s="423">
        <f t="shared" si="9"/>
        <v>2666.399999984</v>
      </c>
      <c r="AT25" s="422">
        <f t="shared" si="1"/>
        <v>2156</v>
      </c>
      <c r="AU25" s="423">
        <f t="shared" si="4"/>
        <v>205312.799998768</v>
      </c>
      <c r="AV25" s="422">
        <f>2520-112-756-1652</f>
        <v>0</v>
      </c>
      <c r="AW25" s="422"/>
      <c r="AX25" s="422">
        <f>112+1652-252</f>
        <v>1512</v>
      </c>
      <c r="AY25" s="422"/>
      <c r="AZ25" s="428">
        <f>756-28-56-28</f>
        <v>644</v>
      </c>
      <c r="BA25" s="422"/>
      <c r="BB25" s="429">
        <f t="shared" si="5"/>
        <v>2156</v>
      </c>
      <c r="BC25" s="429">
        <f t="shared" si="6"/>
        <v>0</v>
      </c>
    </row>
    <row r="26" spans="2:55" s="469" customFormat="1" ht="15.75">
      <c r="B26" s="409">
        <v>9</v>
      </c>
      <c r="C26" s="410" t="s">
        <v>44</v>
      </c>
      <c r="D26" s="411" t="s">
        <v>83</v>
      </c>
      <c r="E26" s="468" t="s">
        <v>69</v>
      </c>
      <c r="F26" s="412" t="s">
        <v>104</v>
      </c>
      <c r="G26" s="413" t="s">
        <v>47</v>
      </c>
      <c r="H26" s="413" t="s">
        <v>47</v>
      </c>
      <c r="I26" s="547"/>
      <c r="J26" s="547"/>
      <c r="K26" s="548"/>
      <c r="L26" s="549"/>
      <c r="M26" s="548"/>
      <c r="N26" s="414"/>
      <c r="O26" s="417"/>
      <c r="P26" s="414"/>
      <c r="Q26" s="417"/>
      <c r="R26" s="414"/>
      <c r="S26" s="417"/>
      <c r="T26" s="410">
        <v>3100243</v>
      </c>
      <c r="U26" s="418">
        <v>44347</v>
      </c>
      <c r="V26" s="419">
        <v>1990</v>
      </c>
      <c r="W26" s="420">
        <v>43738</v>
      </c>
      <c r="X26" s="419" t="s">
        <v>84</v>
      </c>
      <c r="Y26" s="421">
        <v>43745</v>
      </c>
      <c r="Z26" s="419"/>
      <c r="AA26" s="421"/>
      <c r="AB26" s="422">
        <v>84</v>
      </c>
      <c r="AC26" s="423">
        <v>7811.82</v>
      </c>
      <c r="AD26" s="424"/>
      <c r="AE26" s="423"/>
      <c r="AF26" s="422"/>
      <c r="AG26" s="423"/>
      <c r="AH26" s="424"/>
      <c r="AI26" s="423"/>
      <c r="AJ26" s="422">
        <f t="shared" si="7"/>
        <v>0</v>
      </c>
      <c r="AK26" s="425">
        <f>AI26+AG26+AE26</f>
        <v>0</v>
      </c>
      <c r="AL26" s="422">
        <f t="shared" si="2"/>
        <v>0</v>
      </c>
      <c r="AM26" s="423">
        <f t="shared" si="2"/>
        <v>0</v>
      </c>
      <c r="AN26" s="426">
        <v>84</v>
      </c>
      <c r="AO26" s="423">
        <v>7811.82</v>
      </c>
      <c r="AP26" s="427"/>
      <c r="AQ26" s="422"/>
      <c r="AR26" s="423">
        <v>92.99785714285714</v>
      </c>
      <c r="AS26" s="423">
        <f t="shared" si="9"/>
        <v>0</v>
      </c>
      <c r="AT26" s="422">
        <f t="shared" si="1"/>
        <v>84</v>
      </c>
      <c r="AU26" s="423">
        <f t="shared" si="4"/>
        <v>7811.82</v>
      </c>
      <c r="AV26" s="422">
        <f>84-84</f>
        <v>0</v>
      </c>
      <c r="AW26" s="422"/>
      <c r="AX26" s="422">
        <v>84</v>
      </c>
      <c r="AY26" s="422"/>
      <c r="AZ26" s="422"/>
      <c r="BA26" s="422"/>
      <c r="BB26" s="429">
        <f>AB26+AJ26-AL26</f>
        <v>84</v>
      </c>
      <c r="BC26" s="429">
        <f>BB26-AT26</f>
        <v>0</v>
      </c>
    </row>
    <row r="27" spans="2:55" s="469" customFormat="1" ht="15.75">
      <c r="B27" s="409">
        <v>10</v>
      </c>
      <c r="C27" s="410" t="s">
        <v>44</v>
      </c>
      <c r="D27" s="411" t="s">
        <v>83</v>
      </c>
      <c r="E27" s="468" t="s">
        <v>69</v>
      </c>
      <c r="F27" s="412" t="s">
        <v>104</v>
      </c>
      <c r="G27" s="413" t="s">
        <v>47</v>
      </c>
      <c r="H27" s="413" t="s">
        <v>47</v>
      </c>
      <c r="I27" s="547"/>
      <c r="J27" s="547"/>
      <c r="K27" s="548"/>
      <c r="L27" s="549"/>
      <c r="M27" s="548"/>
      <c r="N27" s="414"/>
      <c r="O27" s="417"/>
      <c r="P27" s="414"/>
      <c r="Q27" s="417"/>
      <c r="R27" s="414"/>
      <c r="S27" s="417"/>
      <c r="T27" s="410">
        <v>3105977</v>
      </c>
      <c r="U27" s="418">
        <v>44439</v>
      </c>
      <c r="V27" s="419">
        <v>79</v>
      </c>
      <c r="W27" s="420">
        <v>43845</v>
      </c>
      <c r="X27" s="419" t="s">
        <v>96</v>
      </c>
      <c r="Y27" s="421">
        <v>43857</v>
      </c>
      <c r="Z27" s="419"/>
      <c r="AA27" s="421"/>
      <c r="AB27" s="422">
        <v>0</v>
      </c>
      <c r="AC27" s="423">
        <v>0</v>
      </c>
      <c r="AD27" s="424">
        <v>28</v>
      </c>
      <c r="AE27" s="423">
        <v>2603.94</v>
      </c>
      <c r="AF27" s="422"/>
      <c r="AG27" s="423"/>
      <c r="AH27" s="424"/>
      <c r="AI27" s="423"/>
      <c r="AJ27" s="422">
        <f t="shared" si="7"/>
        <v>28</v>
      </c>
      <c r="AK27" s="425">
        <f>AI27+AG27+AE27</f>
        <v>2603.94</v>
      </c>
      <c r="AL27" s="422">
        <f t="shared" si="2"/>
        <v>0</v>
      </c>
      <c r="AM27" s="423">
        <f t="shared" si="2"/>
        <v>-3.999957698397338E-09</v>
      </c>
      <c r="AN27" s="426">
        <v>28</v>
      </c>
      <c r="AO27" s="423">
        <v>2603.940000004</v>
      </c>
      <c r="AP27" s="427"/>
      <c r="AQ27" s="422"/>
      <c r="AR27" s="423">
        <v>92.997857143</v>
      </c>
      <c r="AS27" s="423">
        <f t="shared" si="9"/>
        <v>0</v>
      </c>
      <c r="AT27" s="422">
        <f t="shared" si="1"/>
        <v>28</v>
      </c>
      <c r="AU27" s="423">
        <f>AR27*AT27</f>
        <v>2603.940000004</v>
      </c>
      <c r="AV27" s="422">
        <f>28-28</f>
        <v>0</v>
      </c>
      <c r="AW27" s="422"/>
      <c r="AX27" s="422">
        <f>28</f>
        <v>28</v>
      </c>
      <c r="AY27" s="422"/>
      <c r="AZ27" s="422"/>
      <c r="BA27" s="422"/>
      <c r="BB27" s="429">
        <f>AB27+AJ27-AL27</f>
        <v>28</v>
      </c>
      <c r="BC27" s="429">
        <f>BB27-AT27</f>
        <v>0</v>
      </c>
    </row>
    <row r="28" spans="2:55" s="430" customFormat="1" ht="15.75">
      <c r="B28" s="409">
        <v>11</v>
      </c>
      <c r="C28" s="410" t="s">
        <v>44</v>
      </c>
      <c r="D28" s="411" t="s">
        <v>83</v>
      </c>
      <c r="E28" s="412" t="s">
        <v>101</v>
      </c>
      <c r="F28" s="412" t="s">
        <v>104</v>
      </c>
      <c r="G28" s="413" t="s">
        <v>47</v>
      </c>
      <c r="H28" s="413" t="s">
        <v>47</v>
      </c>
      <c r="I28" s="547"/>
      <c r="J28" s="547"/>
      <c r="K28" s="548"/>
      <c r="L28" s="549"/>
      <c r="M28" s="548"/>
      <c r="N28" s="414"/>
      <c r="O28" s="417"/>
      <c r="P28" s="414"/>
      <c r="Q28" s="417"/>
      <c r="R28" s="414"/>
      <c r="S28" s="417"/>
      <c r="T28" s="410">
        <v>3105977</v>
      </c>
      <c r="U28" s="418">
        <v>44439</v>
      </c>
      <c r="V28" s="419">
        <v>280</v>
      </c>
      <c r="W28" s="420">
        <v>43868</v>
      </c>
      <c r="X28" s="419" t="s">
        <v>107</v>
      </c>
      <c r="Y28" s="421">
        <v>43878</v>
      </c>
      <c r="Z28" s="419"/>
      <c r="AA28" s="421"/>
      <c r="AB28" s="422">
        <v>0</v>
      </c>
      <c r="AC28" s="423">
        <v>0</v>
      </c>
      <c r="AD28" s="424"/>
      <c r="AE28" s="423"/>
      <c r="AF28" s="422">
        <v>1680</v>
      </c>
      <c r="AG28" s="423">
        <v>136944</v>
      </c>
      <c r="AH28" s="424"/>
      <c r="AI28" s="423"/>
      <c r="AJ28" s="422">
        <f t="shared" si="7"/>
        <v>1680</v>
      </c>
      <c r="AK28" s="425">
        <f>AI28+AG28+AE28</f>
        <v>136944</v>
      </c>
      <c r="AL28" s="422">
        <f>AB28+AJ28-AT28</f>
        <v>0</v>
      </c>
      <c r="AM28" s="423">
        <f>AC28+AK28-AU28</f>
        <v>0.0009648000122979283</v>
      </c>
      <c r="AN28" s="426">
        <v>0</v>
      </c>
      <c r="AO28" s="423">
        <v>0</v>
      </c>
      <c r="AP28" s="427">
        <v>1680</v>
      </c>
      <c r="AQ28" s="422"/>
      <c r="AR28" s="423">
        <v>81.51428514</v>
      </c>
      <c r="AS28" s="423">
        <f t="shared" si="9"/>
        <v>0</v>
      </c>
      <c r="AT28" s="422">
        <f>SUM(AV28:BA28)</f>
        <v>1680</v>
      </c>
      <c r="AU28" s="423">
        <f>AR28*AT28</f>
        <v>136943.9990352</v>
      </c>
      <c r="AV28" s="428">
        <v>1680</v>
      </c>
      <c r="AW28" s="422"/>
      <c r="AX28" s="428"/>
      <c r="AY28" s="422"/>
      <c r="AZ28" s="428"/>
      <c r="BA28" s="422"/>
      <c r="BB28" s="429">
        <f>AB28+AJ28-AL28</f>
        <v>1680</v>
      </c>
      <c r="BC28" s="429">
        <f>BB28-AT28</f>
        <v>0</v>
      </c>
    </row>
    <row r="29" spans="2:55" s="230" customFormat="1" ht="15.75">
      <c r="B29" s="434">
        <v>12</v>
      </c>
      <c r="C29" s="98" t="s">
        <v>44</v>
      </c>
      <c r="D29" s="435" t="s">
        <v>48</v>
      </c>
      <c r="E29" s="436" t="s">
        <v>49</v>
      </c>
      <c r="F29" s="467" t="s">
        <v>105</v>
      </c>
      <c r="G29" s="99" t="s">
        <v>47</v>
      </c>
      <c r="H29" s="99" t="s">
        <v>47</v>
      </c>
      <c r="I29" s="550">
        <v>336</v>
      </c>
      <c r="J29" s="550">
        <v>152</v>
      </c>
      <c r="K29" s="551">
        <v>3.35</v>
      </c>
      <c r="L29" s="552">
        <v>51072</v>
      </c>
      <c r="M29" s="551">
        <f>K29*L29</f>
        <v>171091.2</v>
      </c>
      <c r="N29" s="100"/>
      <c r="O29" s="103"/>
      <c r="P29" s="100"/>
      <c r="Q29" s="103"/>
      <c r="R29" s="100"/>
      <c r="S29" s="103"/>
      <c r="T29" s="98">
        <v>19027411</v>
      </c>
      <c r="U29" s="104">
        <v>44347</v>
      </c>
      <c r="V29" s="105">
        <v>1786</v>
      </c>
      <c r="W29" s="106">
        <v>43690</v>
      </c>
      <c r="X29" s="105" t="s">
        <v>78</v>
      </c>
      <c r="Y29" s="107">
        <v>43696</v>
      </c>
      <c r="Z29" s="105" t="s">
        <v>79</v>
      </c>
      <c r="AA29" s="107">
        <v>43693</v>
      </c>
      <c r="AB29" s="108">
        <v>41400</v>
      </c>
      <c r="AC29" s="109">
        <v>118031.4</v>
      </c>
      <c r="AD29" s="110"/>
      <c r="AE29" s="109"/>
      <c r="AF29" s="110"/>
      <c r="AG29" s="109"/>
      <c r="AH29" s="110"/>
      <c r="AI29" s="109"/>
      <c r="AJ29" s="108">
        <f t="shared" si="7"/>
        <v>0</v>
      </c>
      <c r="AK29" s="182">
        <f t="shared" si="8"/>
        <v>0</v>
      </c>
      <c r="AL29" s="108">
        <f t="shared" si="2"/>
        <v>900</v>
      </c>
      <c r="AM29" s="109">
        <f t="shared" si="2"/>
        <v>2565.899999999994</v>
      </c>
      <c r="AN29" s="184">
        <v>40500</v>
      </c>
      <c r="AO29" s="123">
        <v>115465.5</v>
      </c>
      <c r="AP29" s="111"/>
      <c r="AQ29" s="108"/>
      <c r="AR29" s="109">
        <v>2.851</v>
      </c>
      <c r="AS29" s="109">
        <f t="shared" si="3"/>
        <v>0</v>
      </c>
      <c r="AT29" s="108">
        <f t="shared" si="1"/>
        <v>40500</v>
      </c>
      <c r="AU29" s="109">
        <f t="shared" si="4"/>
        <v>115465.5</v>
      </c>
      <c r="AV29" s="108">
        <f>41880-41880</f>
        <v>0</v>
      </c>
      <c r="AW29" s="108"/>
      <c r="AX29" s="108">
        <f>41880-30-450-900</f>
        <v>40500</v>
      </c>
      <c r="AY29" s="108"/>
      <c r="AZ29" s="108"/>
      <c r="BA29" s="108"/>
      <c r="BB29" s="429">
        <f>AB29+AJ29-AL29</f>
        <v>40500</v>
      </c>
      <c r="BC29" s="429">
        <f>BB29-AT29</f>
        <v>0</v>
      </c>
    </row>
    <row r="30" spans="2:55" s="231" customFormat="1" ht="15.75">
      <c r="B30" s="441">
        <v>13</v>
      </c>
      <c r="C30" s="112" t="s">
        <v>44</v>
      </c>
      <c r="D30" s="113" t="s">
        <v>50</v>
      </c>
      <c r="E30" s="114" t="s">
        <v>39</v>
      </c>
      <c r="F30" s="466" t="s">
        <v>106</v>
      </c>
      <c r="G30" s="115" t="s">
        <v>47</v>
      </c>
      <c r="H30" s="115" t="s">
        <v>47</v>
      </c>
      <c r="I30" s="553">
        <v>504</v>
      </c>
      <c r="J30" s="553">
        <v>895</v>
      </c>
      <c r="K30" s="554"/>
      <c r="L30" s="555">
        <v>451080</v>
      </c>
      <c r="M30" s="554">
        <f>K30*L30</f>
        <v>0</v>
      </c>
      <c r="N30" s="116"/>
      <c r="O30" s="117"/>
      <c r="P30" s="116"/>
      <c r="Q30" s="117"/>
      <c r="R30" s="116"/>
      <c r="S30" s="117"/>
      <c r="T30" s="112" t="s">
        <v>51</v>
      </c>
      <c r="U30" s="118">
        <v>44105</v>
      </c>
      <c r="V30" s="119">
        <v>1274</v>
      </c>
      <c r="W30" s="120">
        <v>43287</v>
      </c>
      <c r="X30" s="119" t="s">
        <v>52</v>
      </c>
      <c r="Y30" s="121">
        <v>43304</v>
      </c>
      <c r="Z30" s="119" t="s">
        <v>53</v>
      </c>
      <c r="AA30" s="121">
        <v>43315</v>
      </c>
      <c r="AB30" s="122">
        <v>4066</v>
      </c>
      <c r="AC30" s="123">
        <v>34980.669286876</v>
      </c>
      <c r="AD30" s="124"/>
      <c r="AE30" s="123"/>
      <c r="AF30" s="124"/>
      <c r="AG30" s="123"/>
      <c r="AH30" s="124"/>
      <c r="AI30" s="123"/>
      <c r="AJ30" s="122">
        <f t="shared" si="7"/>
        <v>0</v>
      </c>
      <c r="AK30" s="182">
        <f t="shared" si="8"/>
        <v>0</v>
      </c>
      <c r="AL30" s="122">
        <f t="shared" si="2"/>
        <v>2586</v>
      </c>
      <c r="AM30" s="123">
        <f t="shared" si="2"/>
        <v>22247.912143596</v>
      </c>
      <c r="AN30" s="185">
        <v>1984</v>
      </c>
      <c r="AO30" s="123">
        <v>17068.777143424</v>
      </c>
      <c r="AP30" s="125"/>
      <c r="AQ30" s="122">
        <v>504</v>
      </c>
      <c r="AR30" s="123">
        <v>8.603214286</v>
      </c>
      <c r="AS30" s="123">
        <f t="shared" si="3"/>
        <v>4336.020000144</v>
      </c>
      <c r="AT30" s="122">
        <f>SUM(AV30:BA30)</f>
        <v>1480</v>
      </c>
      <c r="AU30" s="123">
        <f>AR30*AT30</f>
        <v>12732.75714328</v>
      </c>
      <c r="AV30" s="122">
        <f>20664-5576-2520-6048-4032-504-1984</f>
        <v>0</v>
      </c>
      <c r="AW30" s="122"/>
      <c r="AX30" s="122">
        <f>5576+6048-1848-2682+4032-1820-3052-4508-1746</f>
        <v>0</v>
      </c>
      <c r="AY30" s="122"/>
      <c r="AZ30" s="513">
        <f>2520-1512-504+1984-168-336-504</f>
        <v>1480</v>
      </c>
      <c r="BA30" s="122"/>
      <c r="BB30" s="97">
        <f t="shared" si="5"/>
        <v>1480</v>
      </c>
      <c r="BC30" s="79">
        <f t="shared" si="6"/>
        <v>0</v>
      </c>
    </row>
    <row r="31" spans="2:55" s="231" customFormat="1" ht="15.75">
      <c r="B31" s="441">
        <v>14</v>
      </c>
      <c r="C31" s="112" t="s">
        <v>44</v>
      </c>
      <c r="D31" s="113" t="s">
        <v>50</v>
      </c>
      <c r="E31" s="114" t="s">
        <v>39</v>
      </c>
      <c r="F31" s="466" t="s">
        <v>106</v>
      </c>
      <c r="G31" s="115" t="s">
        <v>47</v>
      </c>
      <c r="H31" s="115" t="s">
        <v>47</v>
      </c>
      <c r="I31" s="553"/>
      <c r="J31" s="553"/>
      <c r="K31" s="554"/>
      <c r="L31" s="555"/>
      <c r="M31" s="554"/>
      <c r="N31" s="116"/>
      <c r="O31" s="117"/>
      <c r="P31" s="116"/>
      <c r="Q31" s="117"/>
      <c r="R31" s="116"/>
      <c r="S31" s="117"/>
      <c r="T31" s="112" t="s">
        <v>54</v>
      </c>
      <c r="U31" s="118">
        <v>44105</v>
      </c>
      <c r="V31" s="119">
        <v>1390</v>
      </c>
      <c r="W31" s="120">
        <v>43307</v>
      </c>
      <c r="X31" s="119" t="s">
        <v>55</v>
      </c>
      <c r="Y31" s="127">
        <v>43325</v>
      </c>
      <c r="Z31" s="128" t="s">
        <v>56</v>
      </c>
      <c r="AA31" s="127">
        <v>43321</v>
      </c>
      <c r="AB31" s="122">
        <v>20496</v>
      </c>
      <c r="AC31" s="123">
        <v>176331.480005856</v>
      </c>
      <c r="AD31" s="124"/>
      <c r="AE31" s="123"/>
      <c r="AF31" s="124"/>
      <c r="AG31" s="123"/>
      <c r="AH31" s="124"/>
      <c r="AI31" s="123"/>
      <c r="AJ31" s="122">
        <f t="shared" si="7"/>
        <v>0</v>
      </c>
      <c r="AK31" s="182">
        <f t="shared" si="8"/>
        <v>0</v>
      </c>
      <c r="AL31" s="122">
        <f t="shared" si="2"/>
        <v>3266</v>
      </c>
      <c r="AM31" s="123">
        <f t="shared" si="2"/>
        <v>28098.097858075984</v>
      </c>
      <c r="AN31" s="185">
        <v>17230</v>
      </c>
      <c r="AO31" s="123">
        <v>148233.38214778</v>
      </c>
      <c r="AP31" s="125"/>
      <c r="AQ31" s="122"/>
      <c r="AR31" s="123">
        <v>8.603214286</v>
      </c>
      <c r="AS31" s="123">
        <f t="shared" si="3"/>
        <v>0</v>
      </c>
      <c r="AT31" s="122">
        <f t="shared" si="1"/>
        <v>17230</v>
      </c>
      <c r="AU31" s="123">
        <f t="shared" si="4"/>
        <v>148233.38214778</v>
      </c>
      <c r="AV31" s="122">
        <f>20496-8064-2552-9880</f>
        <v>0</v>
      </c>
      <c r="AW31" s="122"/>
      <c r="AX31" s="122">
        <f>8064-3266+9880</f>
        <v>14678</v>
      </c>
      <c r="AY31" s="122"/>
      <c r="AZ31" s="513">
        <v>2552</v>
      </c>
      <c r="BA31" s="122"/>
      <c r="BB31" s="126">
        <f t="shared" si="5"/>
        <v>17230</v>
      </c>
      <c r="BC31" s="79">
        <f t="shared" si="6"/>
        <v>0</v>
      </c>
    </row>
    <row r="32" spans="2:55" ht="15.75" hidden="1">
      <c r="B32" s="147">
        <v>12</v>
      </c>
      <c r="C32" s="5"/>
      <c r="D32" s="6"/>
      <c r="E32" s="30" t="s">
        <v>57</v>
      </c>
      <c r="F32" s="30"/>
      <c r="G32" s="31" t="s">
        <v>47</v>
      </c>
      <c r="H32" s="31" t="s">
        <v>47</v>
      </c>
      <c r="I32" s="32">
        <v>84</v>
      </c>
      <c r="J32" s="32">
        <v>895</v>
      </c>
      <c r="K32" s="33">
        <v>249.07</v>
      </c>
      <c r="L32" s="34">
        <f>I32*J32</f>
        <v>75180</v>
      </c>
      <c r="M32" s="33">
        <f>K32*L32</f>
        <v>18725082.599999998</v>
      </c>
      <c r="N32" s="32"/>
      <c r="O32" s="35"/>
      <c r="P32" s="32"/>
      <c r="Q32" s="35"/>
      <c r="R32" s="32"/>
      <c r="S32" s="35"/>
      <c r="T32" s="36"/>
      <c r="U32" s="36"/>
      <c r="V32" s="7"/>
      <c r="W32" s="8"/>
      <c r="X32" s="48"/>
      <c r="Y32" s="49"/>
      <c r="Z32" s="49"/>
      <c r="AA32" s="49"/>
      <c r="AB32" s="196">
        <v>0</v>
      </c>
      <c r="AC32" s="9">
        <v>0</v>
      </c>
      <c r="AD32" s="51"/>
      <c r="AE32" s="52"/>
      <c r="AF32" s="51"/>
      <c r="AG32" s="52"/>
      <c r="AH32" s="51"/>
      <c r="AI32" s="52"/>
      <c r="AJ32" s="3">
        <f t="shared" si="7"/>
        <v>0</v>
      </c>
      <c r="AK32" s="186">
        <f>AJ32*AR32</f>
        <v>0</v>
      </c>
      <c r="AL32" s="3">
        <f t="shared" si="2"/>
        <v>8000</v>
      </c>
      <c r="AM32" s="9">
        <f t="shared" si="2"/>
        <v>17452.58</v>
      </c>
      <c r="AN32" s="187">
        <v>0</v>
      </c>
      <c r="AO32" s="52">
        <v>0</v>
      </c>
      <c r="AP32" s="56"/>
      <c r="AQ32" s="53">
        <f>AN32-AT32</f>
        <v>0</v>
      </c>
      <c r="AR32" s="52"/>
      <c r="AS32" s="52">
        <f t="shared" si="3"/>
        <v>0</v>
      </c>
      <c r="AT32" s="3">
        <f>AN32+AP32-AQ32</f>
        <v>0</v>
      </c>
      <c r="AU32" s="9">
        <f>AT32*AR32</f>
        <v>0</v>
      </c>
      <c r="AV32" s="3">
        <v>0</v>
      </c>
      <c r="AW32" s="3"/>
      <c r="AX32" s="3"/>
      <c r="AY32" s="3"/>
      <c r="AZ32" s="3"/>
      <c r="BA32" s="3"/>
      <c r="BB32" s="10">
        <f t="shared" si="5"/>
        <v>0</v>
      </c>
      <c r="BC32" s="79">
        <f t="shared" si="6"/>
        <v>0</v>
      </c>
    </row>
    <row r="33" spans="2:55" ht="15.75" hidden="1">
      <c r="B33" s="130">
        <v>13</v>
      </c>
      <c r="C33" s="5"/>
      <c r="D33" s="6"/>
      <c r="E33" s="30" t="s">
        <v>58</v>
      </c>
      <c r="F33" s="30"/>
      <c r="G33" s="31" t="s">
        <v>47</v>
      </c>
      <c r="H33" s="31" t="s">
        <v>47</v>
      </c>
      <c r="I33" s="32"/>
      <c r="J33" s="32"/>
      <c r="K33" s="33">
        <v>35.36</v>
      </c>
      <c r="L33" s="34">
        <f>I33*J33</f>
        <v>0</v>
      </c>
      <c r="M33" s="33">
        <f>K33*L33</f>
        <v>0</v>
      </c>
      <c r="N33" s="32"/>
      <c r="O33" s="35"/>
      <c r="P33" s="32"/>
      <c r="Q33" s="35"/>
      <c r="R33" s="32"/>
      <c r="S33" s="35"/>
      <c r="T33" s="36"/>
      <c r="U33" s="36"/>
      <c r="V33" s="7"/>
      <c r="W33" s="8"/>
      <c r="X33" s="48"/>
      <c r="Y33" s="49"/>
      <c r="Z33" s="49"/>
      <c r="AA33" s="49"/>
      <c r="AB33" s="196">
        <v>0</v>
      </c>
      <c r="AC33" s="9">
        <v>0</v>
      </c>
      <c r="AD33" s="51"/>
      <c r="AE33" s="52"/>
      <c r="AF33" s="51"/>
      <c r="AG33" s="52"/>
      <c r="AH33" s="51"/>
      <c r="AI33" s="52"/>
      <c r="AJ33" s="3">
        <f t="shared" si="7"/>
        <v>0</v>
      </c>
      <c r="AK33" s="186">
        <f>AJ33*AR33</f>
        <v>0</v>
      </c>
      <c r="AL33" s="3">
        <f t="shared" si="2"/>
        <v>8000</v>
      </c>
      <c r="AM33" s="9">
        <f t="shared" si="2"/>
        <v>17452.58</v>
      </c>
      <c r="AN33" s="187">
        <v>0</v>
      </c>
      <c r="AO33" s="52">
        <v>0</v>
      </c>
      <c r="AP33" s="56"/>
      <c r="AQ33" s="53">
        <f>AN33-AT33</f>
        <v>0</v>
      </c>
      <c r="AR33" s="52"/>
      <c r="AS33" s="52">
        <f t="shared" si="3"/>
        <v>0</v>
      </c>
      <c r="AT33" s="3">
        <f>AN33+AP33-AQ33</f>
        <v>0</v>
      </c>
      <c r="AU33" s="9">
        <f>AT33*AR33</f>
        <v>0</v>
      </c>
      <c r="AV33" s="3">
        <v>0</v>
      </c>
      <c r="AW33" s="3"/>
      <c r="AX33" s="3"/>
      <c r="AY33" s="3"/>
      <c r="AZ33" s="3"/>
      <c r="BA33" s="3"/>
      <c r="BB33" s="10">
        <f t="shared" si="5"/>
        <v>0</v>
      </c>
      <c r="BC33" s="79">
        <f t="shared" si="6"/>
        <v>0</v>
      </c>
    </row>
    <row r="34" spans="2:55" ht="15.75" hidden="1">
      <c r="B34" s="130">
        <v>14</v>
      </c>
      <c r="C34" s="5"/>
      <c r="D34" s="6" t="s">
        <v>59</v>
      </c>
      <c r="E34" s="30" t="s">
        <v>60</v>
      </c>
      <c r="F34" s="30"/>
      <c r="G34" s="31" t="s">
        <v>47</v>
      </c>
      <c r="H34" s="31" t="s">
        <v>47</v>
      </c>
      <c r="I34" s="32"/>
      <c r="J34" s="32"/>
      <c r="K34" s="33">
        <v>35.36</v>
      </c>
      <c r="L34" s="34">
        <f>I34*J34</f>
        <v>0</v>
      </c>
      <c r="M34" s="33">
        <f>K34*L34</f>
        <v>0</v>
      </c>
      <c r="N34" s="32"/>
      <c r="O34" s="35"/>
      <c r="P34" s="32"/>
      <c r="Q34" s="35"/>
      <c r="R34" s="32"/>
      <c r="S34" s="35"/>
      <c r="T34" s="36"/>
      <c r="U34" s="36"/>
      <c r="V34" s="7"/>
      <c r="W34" s="8"/>
      <c r="X34" s="48"/>
      <c r="Y34" s="49"/>
      <c r="Z34" s="49"/>
      <c r="AA34" s="49"/>
      <c r="AB34" s="196">
        <v>0</v>
      </c>
      <c r="AC34" s="9">
        <v>0</v>
      </c>
      <c r="AD34" s="51"/>
      <c r="AE34" s="52"/>
      <c r="AF34" s="51"/>
      <c r="AG34" s="52"/>
      <c r="AH34" s="51"/>
      <c r="AI34" s="52"/>
      <c r="AJ34" s="3">
        <f t="shared" si="7"/>
        <v>0</v>
      </c>
      <c r="AK34" s="186">
        <f>AJ34*AR34</f>
        <v>0</v>
      </c>
      <c r="AL34" s="3">
        <f t="shared" si="2"/>
        <v>8000</v>
      </c>
      <c r="AM34" s="9">
        <f t="shared" si="2"/>
        <v>17452.58</v>
      </c>
      <c r="AN34" s="187">
        <v>0</v>
      </c>
      <c r="AO34" s="52">
        <v>0</v>
      </c>
      <c r="AP34" s="56"/>
      <c r="AQ34" s="53">
        <f>AN34-AT34</f>
        <v>0</v>
      </c>
      <c r="AR34" s="52"/>
      <c r="AS34" s="52">
        <f t="shared" si="3"/>
        <v>0</v>
      </c>
      <c r="AT34" s="3">
        <f>AN34+AP34-AQ34</f>
        <v>0</v>
      </c>
      <c r="AU34" s="9">
        <f>AT34*AR34</f>
        <v>0</v>
      </c>
      <c r="AV34" s="3">
        <v>0</v>
      </c>
      <c r="AW34" s="3"/>
      <c r="AX34" s="3"/>
      <c r="AY34" s="3"/>
      <c r="AZ34" s="3"/>
      <c r="BA34" s="3"/>
      <c r="BB34" s="10">
        <f t="shared" si="5"/>
        <v>0</v>
      </c>
      <c r="BC34" s="79">
        <f t="shared" si="6"/>
        <v>0</v>
      </c>
    </row>
    <row r="35" spans="2:55" s="232" customFormat="1" ht="15.75">
      <c r="B35" s="147"/>
      <c r="C35" s="610" t="s">
        <v>61</v>
      </c>
      <c r="D35" s="610"/>
      <c r="E35" s="610"/>
      <c r="F35" s="610"/>
      <c r="G35" s="610"/>
      <c r="H35" s="610"/>
      <c r="I35" s="150"/>
      <c r="J35" s="150"/>
      <c r="K35" s="151"/>
      <c r="L35" s="151"/>
      <c r="M35" s="151">
        <f aca="true" t="shared" si="10" ref="M35:S35">SUM(M19:N31)</f>
        <v>29307591.959999997</v>
      </c>
      <c r="N35" s="151">
        <f t="shared" si="10"/>
        <v>0</v>
      </c>
      <c r="O35" s="151">
        <f t="shared" si="10"/>
        <v>0</v>
      </c>
      <c r="P35" s="151">
        <f t="shared" si="10"/>
        <v>0</v>
      </c>
      <c r="Q35" s="151">
        <f t="shared" si="10"/>
        <v>0</v>
      </c>
      <c r="R35" s="151">
        <f t="shared" si="10"/>
        <v>0</v>
      </c>
      <c r="S35" s="151">
        <f t="shared" si="10"/>
        <v>43838391</v>
      </c>
      <c r="T35" s="152"/>
      <c r="U35" s="152"/>
      <c r="V35" s="153"/>
      <c r="W35" s="153"/>
      <c r="X35" s="152"/>
      <c r="Y35" s="152"/>
      <c r="Z35" s="152"/>
      <c r="AA35" s="152"/>
      <c r="AB35" s="154">
        <f aca="true" t="shared" si="11" ref="AB35:AK35">SUM(AB17:AB34)</f>
        <v>69997</v>
      </c>
      <c r="AC35" s="154">
        <f t="shared" si="11"/>
        <v>646430.599290932</v>
      </c>
      <c r="AD35" s="154">
        <f t="shared" si="11"/>
        <v>616</v>
      </c>
      <c r="AE35" s="154">
        <f t="shared" si="11"/>
        <v>21451.23</v>
      </c>
      <c r="AF35" s="154">
        <f t="shared" si="11"/>
        <v>6720</v>
      </c>
      <c r="AG35" s="154">
        <f t="shared" si="11"/>
        <v>1184444.1</v>
      </c>
      <c r="AH35" s="154">
        <f t="shared" si="11"/>
        <v>0</v>
      </c>
      <c r="AI35" s="154">
        <f t="shared" si="11"/>
        <v>0</v>
      </c>
      <c r="AJ35" s="154">
        <f t="shared" si="11"/>
        <v>7336</v>
      </c>
      <c r="AK35" s="154">
        <f t="shared" si="11"/>
        <v>1205895.3299999998</v>
      </c>
      <c r="AL35" s="154">
        <f>SUM(AL17:AL31)</f>
        <v>8071</v>
      </c>
      <c r="AM35" s="154">
        <f>SUM(AM17:AM31)</f>
        <v>1204374.4409658997</v>
      </c>
      <c r="AN35" s="154">
        <f>SUM(AN17:AN31)</f>
        <v>63074</v>
      </c>
      <c r="AO35" s="154">
        <f>SUM(AO17:AO31)</f>
        <v>533077.179289924</v>
      </c>
      <c r="AP35" s="154">
        <f>SUM(AP17:AP31)</f>
        <v>6720</v>
      </c>
      <c r="AQ35" s="154">
        <f>SUM(AQ17:AQ34)</f>
        <v>0</v>
      </c>
      <c r="AR35" s="155" t="s">
        <v>40</v>
      </c>
      <c r="AS35" s="155">
        <f>SUM(AS17:AS31)</f>
        <v>7002.420000128</v>
      </c>
      <c r="AT35" s="155">
        <f aca="true" t="shared" si="12" ref="AT35:BA35">SUM(AT17:AT31)</f>
        <v>69262</v>
      </c>
      <c r="AU35" s="155">
        <f t="shared" si="12"/>
        <v>1710518.8583246355</v>
      </c>
      <c r="AV35" s="155">
        <f t="shared" si="12"/>
        <v>6720</v>
      </c>
      <c r="AW35" s="155">
        <f t="shared" si="12"/>
        <v>0</v>
      </c>
      <c r="AX35" s="155">
        <f t="shared" si="12"/>
        <v>57866</v>
      </c>
      <c r="AY35" s="155">
        <f t="shared" si="12"/>
        <v>0</v>
      </c>
      <c r="AZ35" s="155">
        <f t="shared" si="12"/>
        <v>4676</v>
      </c>
      <c r="BA35" s="155">
        <f t="shared" si="12"/>
        <v>0</v>
      </c>
      <c r="BB35" s="156">
        <f t="shared" si="5"/>
        <v>69262</v>
      </c>
      <c r="BC35" s="157">
        <f t="shared" si="6"/>
        <v>0</v>
      </c>
    </row>
    <row r="36" spans="48:55" ht="15.75">
      <c r="AV36" s="1"/>
      <c r="BB36" s="10">
        <f t="shared" si="5"/>
        <v>0</v>
      </c>
      <c r="BC36" s="79">
        <f t="shared" si="6"/>
        <v>0</v>
      </c>
    </row>
    <row r="37" spans="3:55" ht="18.75" hidden="1">
      <c r="C37" s="21"/>
      <c r="D37" s="22"/>
      <c r="E37" s="40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42"/>
      <c r="V37" s="22"/>
      <c r="W37" s="22"/>
      <c r="X37" s="40"/>
      <c r="Y37" s="40"/>
      <c r="Z37" s="40"/>
      <c r="AA37" s="40"/>
      <c r="AB37" s="23">
        <v>25627</v>
      </c>
      <c r="AC37" s="24">
        <v>429721.02999999997</v>
      </c>
      <c r="AD37" s="46">
        <v>2489</v>
      </c>
      <c r="AE37" s="46">
        <v>238467.40999999997</v>
      </c>
      <c r="AF37" s="46">
        <v>43857</v>
      </c>
      <c r="AG37" s="46">
        <v>1030797.06</v>
      </c>
      <c r="AH37" s="46">
        <v>0</v>
      </c>
      <c r="AI37" s="46">
        <v>0</v>
      </c>
      <c r="AJ37" s="25">
        <v>46346</v>
      </c>
      <c r="AK37" s="190">
        <v>1269264.4699921182</v>
      </c>
      <c r="AL37" s="23">
        <v>5305</v>
      </c>
      <c r="AM37" s="24">
        <v>209811.62</v>
      </c>
      <c r="AN37" s="191">
        <v>66668</v>
      </c>
      <c r="AO37" s="59">
        <v>1489173.879992118</v>
      </c>
      <c r="AP37" s="60">
        <v>0</v>
      </c>
      <c r="AQ37" s="61">
        <v>0</v>
      </c>
      <c r="AR37" s="29" t="s">
        <v>40</v>
      </c>
      <c r="AS37" s="29">
        <v>0</v>
      </c>
      <c r="AT37" s="26">
        <v>66668</v>
      </c>
      <c r="AU37" s="27">
        <v>1489173.879992118</v>
      </c>
      <c r="AV37" s="28">
        <f>AB35+AJ35-AL35</f>
        <v>69262</v>
      </c>
      <c r="AW37" s="28"/>
      <c r="BB37" s="10">
        <f t="shared" si="5"/>
        <v>66668</v>
      </c>
      <c r="BC37" s="10">
        <f t="shared" si="6"/>
        <v>0</v>
      </c>
    </row>
    <row r="38" spans="1:54" s="16" customFormat="1" ht="20.25">
      <c r="A38" s="13"/>
      <c r="B38" s="14"/>
      <c r="C38" s="13" t="s">
        <v>80</v>
      </c>
      <c r="D38" s="14"/>
      <c r="E38" s="43" t="s">
        <v>62</v>
      </c>
      <c r="F38" s="43"/>
      <c r="G38" s="44"/>
      <c r="H38" s="43"/>
      <c r="I38" s="43" t="s">
        <v>63</v>
      </c>
      <c r="J38" s="43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17"/>
      <c r="W38" s="15"/>
      <c r="X38" s="43"/>
      <c r="Y38" s="44"/>
      <c r="Z38" s="43"/>
      <c r="AA38" s="43"/>
      <c r="AB38" s="13"/>
      <c r="AC38" s="15" t="s">
        <v>77</v>
      </c>
      <c r="AD38" s="43"/>
      <c r="AE38" s="54"/>
      <c r="AF38" s="43"/>
      <c r="AG38" s="43"/>
      <c r="AH38" s="43"/>
      <c r="AI38" s="43"/>
      <c r="AJ38" s="13"/>
      <c r="AK38" s="192"/>
      <c r="AL38" s="13"/>
      <c r="AM38" s="18"/>
      <c r="AN38" s="193"/>
      <c r="AO38" s="54"/>
      <c r="AP38" s="146"/>
      <c r="AQ38" s="129"/>
      <c r="AR38" s="62"/>
      <c r="AS38" s="63"/>
      <c r="AT38" s="14"/>
      <c r="AU38" s="19"/>
      <c r="AV38" s="20"/>
      <c r="AW38" s="20"/>
      <c r="AX38" s="14"/>
      <c r="AY38" s="14"/>
      <c r="AZ38" s="14"/>
      <c r="BA38" s="14"/>
      <c r="BB38" s="14"/>
    </row>
    <row r="39" spans="1:54" s="16" customFormat="1" ht="20.25" hidden="1">
      <c r="A39" s="13"/>
      <c r="B39" s="14"/>
      <c r="C39" s="13"/>
      <c r="D39" s="14"/>
      <c r="E39" s="233"/>
      <c r="F39" s="233"/>
      <c r="G39" s="43"/>
      <c r="H39" s="43"/>
      <c r="I39" s="43"/>
      <c r="J39" s="4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17"/>
      <c r="W39" s="15"/>
      <c r="X39" s="43"/>
      <c r="Y39" s="44"/>
      <c r="Z39" s="43"/>
      <c r="AA39" s="43"/>
      <c r="AB39" s="13"/>
      <c r="AC39" s="15"/>
      <c r="AD39" s="43"/>
      <c r="AE39" s="43"/>
      <c r="AF39" s="43"/>
      <c r="AG39" s="43"/>
      <c r="AH39" s="43"/>
      <c r="AI39" s="43"/>
      <c r="AJ39" s="13"/>
      <c r="AK39" s="192"/>
      <c r="AL39" s="13"/>
      <c r="AM39" s="15"/>
      <c r="AN39" s="193"/>
      <c r="AO39" s="43"/>
      <c r="AP39" s="234"/>
      <c r="AQ39" s="129"/>
      <c r="AR39" s="62"/>
      <c r="AS39" s="235"/>
      <c r="AT39" s="14"/>
      <c r="AU39" s="27"/>
      <c r="AV39" s="20"/>
      <c r="AW39" s="20"/>
      <c r="AX39" s="236"/>
      <c r="AY39" s="14"/>
      <c r="AZ39" s="14"/>
      <c r="BA39" s="14"/>
      <c r="BB39" s="14"/>
    </row>
    <row r="40" spans="1:54" s="16" customFormat="1" ht="20.25" hidden="1">
      <c r="A40" s="13"/>
      <c r="B40" s="14"/>
      <c r="C40" s="13"/>
      <c r="D40" s="14"/>
      <c r="E40" s="233"/>
      <c r="F40" s="233"/>
      <c r="G40" s="43"/>
      <c r="H40" s="43"/>
      <c r="I40" s="43"/>
      <c r="J40" s="43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17"/>
      <c r="W40" s="15"/>
      <c r="X40" s="43"/>
      <c r="Y40" s="44"/>
      <c r="Z40" s="43"/>
      <c r="AA40" s="43"/>
      <c r="AB40" s="13"/>
      <c r="AC40" s="237"/>
      <c r="AD40" s="43"/>
      <c r="AE40" s="43"/>
      <c r="AF40" s="43"/>
      <c r="AG40" s="43"/>
      <c r="AH40" s="43"/>
      <c r="AI40" s="43"/>
      <c r="AJ40" s="13"/>
      <c r="AK40" s="192"/>
      <c r="AL40" s="13"/>
      <c r="AM40" s="15"/>
      <c r="AN40" s="193"/>
      <c r="AO40" s="43"/>
      <c r="AP40" s="234"/>
      <c r="AQ40" s="129"/>
      <c r="AR40" s="62"/>
      <c r="AS40" s="235"/>
      <c r="AT40" s="14"/>
      <c r="AU40" s="238"/>
      <c r="AV40" s="14"/>
      <c r="AW40" s="14"/>
      <c r="AX40" s="14"/>
      <c r="AY40" s="14"/>
      <c r="AZ40" s="14"/>
      <c r="BA40" s="14"/>
      <c r="BB40" s="14"/>
    </row>
    <row r="41" spans="1:54" s="16" customFormat="1" ht="20.25">
      <c r="A41" s="239"/>
      <c r="B41" s="198" t="s">
        <v>72</v>
      </c>
      <c r="C41" s="239"/>
      <c r="D41" s="14"/>
      <c r="E41" s="240"/>
      <c r="F41" s="240"/>
      <c r="G41" s="241"/>
      <c r="H41" s="241"/>
      <c r="I41" s="242"/>
      <c r="J41" s="242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17"/>
      <c r="W41" s="238"/>
      <c r="X41" s="243"/>
      <c r="Y41" s="44"/>
      <c r="Z41" s="44"/>
      <c r="AA41" s="44"/>
      <c r="AB41" s="239"/>
      <c r="AC41" s="244"/>
      <c r="AD41" s="44"/>
      <c r="AE41" s="44"/>
      <c r="AF41" s="44"/>
      <c r="AG41" s="44"/>
      <c r="AH41" s="44"/>
      <c r="AI41" s="44"/>
      <c r="AJ41" s="239"/>
      <c r="AK41" s="245"/>
      <c r="AL41" s="246"/>
      <c r="AM41" s="247"/>
      <c r="AN41" s="248"/>
      <c r="AO41" s="249"/>
      <c r="AP41" s="234"/>
      <c r="AQ41" s="129"/>
      <c r="AR41" s="62"/>
      <c r="AS41" s="235"/>
      <c r="AT41" s="14"/>
      <c r="AU41" s="238"/>
      <c r="AV41" s="14"/>
      <c r="AW41" s="14"/>
      <c r="AX41" s="14"/>
      <c r="AY41" s="14"/>
      <c r="AZ41" s="14"/>
      <c r="BA41" s="14"/>
      <c r="BB41" s="14"/>
    </row>
    <row r="42" spans="1:54" s="16" customFormat="1" ht="15.75" customHeight="1">
      <c r="A42" s="250"/>
      <c r="B42" s="251"/>
      <c r="C42" s="667" t="s">
        <v>64</v>
      </c>
      <c r="D42" s="251"/>
      <c r="E42" s="252" t="s">
        <v>64</v>
      </c>
      <c r="F42" s="252"/>
      <c r="G42" s="44"/>
      <c r="H42" s="252"/>
      <c r="I42" s="668" t="s">
        <v>65</v>
      </c>
      <c r="J42" s="668"/>
      <c r="K42" s="668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4"/>
      <c r="W42" s="255"/>
      <c r="X42" s="256"/>
      <c r="Y42" s="44"/>
      <c r="Z42" s="43"/>
      <c r="AA42" s="252"/>
      <c r="AB42" s="250"/>
      <c r="AC42" s="257" t="s">
        <v>65</v>
      </c>
      <c r="AD42" s="252"/>
      <c r="AE42" s="252"/>
      <c r="AF42" s="252"/>
      <c r="AG42" s="252"/>
      <c r="AH42" s="252"/>
      <c r="AI42" s="252"/>
      <c r="AJ42" s="250"/>
      <c r="AK42" s="258"/>
      <c r="AL42" s="250"/>
      <c r="AM42" s="259"/>
      <c r="AN42" s="260"/>
      <c r="AO42" s="252"/>
      <c r="AP42" s="261"/>
      <c r="AQ42" s="262"/>
      <c r="AR42" s="62"/>
      <c r="AS42" s="235"/>
      <c r="AT42" s="14"/>
      <c r="AU42" s="238"/>
      <c r="AV42" s="14"/>
      <c r="AW42" s="14"/>
      <c r="AX42" s="14"/>
      <c r="AY42" s="14"/>
      <c r="AZ42" s="14"/>
      <c r="BA42" s="14"/>
      <c r="BB42" s="14"/>
    </row>
    <row r="43" spans="1:54" s="269" customFormat="1" ht="18.75">
      <c r="A43" s="24"/>
      <c r="B43" s="198"/>
      <c r="C43" s="667"/>
      <c r="D43" s="198"/>
      <c r="E43" s="46"/>
      <c r="F43" s="46"/>
      <c r="G43" s="217"/>
      <c r="H43" s="217"/>
      <c r="I43" s="217"/>
      <c r="J43" s="217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263"/>
      <c r="W43" s="216"/>
      <c r="X43" s="217"/>
      <c r="Y43" s="217"/>
      <c r="Z43" s="217"/>
      <c r="AA43" s="217"/>
      <c r="AB43" s="264"/>
      <c r="AC43" s="216"/>
      <c r="AD43" s="217"/>
      <c r="AE43" s="217"/>
      <c r="AF43" s="217"/>
      <c r="AG43" s="217"/>
      <c r="AH43" s="217"/>
      <c r="AI43" s="217"/>
      <c r="AJ43" s="264"/>
      <c r="AK43" s="218"/>
      <c r="AL43" s="264"/>
      <c r="AM43" s="216"/>
      <c r="AN43" s="265"/>
      <c r="AO43" s="217"/>
      <c r="AP43" s="266"/>
      <c r="AQ43" s="267"/>
      <c r="AR43" s="268"/>
      <c r="AS43" s="61"/>
      <c r="AT43" s="26"/>
      <c r="AU43" s="198"/>
      <c r="AV43" s="26"/>
      <c r="AW43" s="26"/>
      <c r="AX43" s="26"/>
      <c r="AY43" s="26"/>
      <c r="AZ43" s="26"/>
      <c r="BA43" s="26"/>
      <c r="BB43" s="26"/>
    </row>
  </sheetData>
  <sheetProtection/>
  <mergeCells count="43">
    <mergeCell ref="F14:F16"/>
    <mergeCell ref="AV15:BA15"/>
    <mergeCell ref="C35:H35"/>
    <mergeCell ref="C42:C43"/>
    <mergeCell ref="I42:K42"/>
    <mergeCell ref="AP14:AP15"/>
    <mergeCell ref="AQ14:AS15"/>
    <mergeCell ref="AT14:BA14"/>
    <mergeCell ref="N15:O15"/>
    <mergeCell ref="P15:Q15"/>
    <mergeCell ref="AH15:AI15"/>
    <mergeCell ref="AT15:AU15"/>
    <mergeCell ref="Z14:AA15"/>
    <mergeCell ref="AB14:AC15"/>
    <mergeCell ref="AD14:AI14"/>
    <mergeCell ref="AJ14:AK15"/>
    <mergeCell ref="AL14:AM15"/>
    <mergeCell ref="AN14:AO15"/>
    <mergeCell ref="AD15:AE15"/>
    <mergeCell ref="AF15:AG15"/>
    <mergeCell ref="L14:M15"/>
    <mergeCell ref="N14:S14"/>
    <mergeCell ref="T14:T16"/>
    <mergeCell ref="U14:U16"/>
    <mergeCell ref="V14:W15"/>
    <mergeCell ref="X14:Y15"/>
    <mergeCell ref="R15:S15"/>
    <mergeCell ref="AP13:AX13"/>
    <mergeCell ref="B14:B16"/>
    <mergeCell ref="C14:C16"/>
    <mergeCell ref="D14:D16"/>
    <mergeCell ref="E14:E16"/>
    <mergeCell ref="G14:G16"/>
    <mergeCell ref="H14:H16"/>
    <mergeCell ref="I14:I16"/>
    <mergeCell ref="J14:J16"/>
    <mergeCell ref="K14:K16"/>
    <mergeCell ref="C6:AX6"/>
    <mergeCell ref="C7:AX7"/>
    <mergeCell ref="C8:AX8"/>
    <mergeCell ref="C9:AX9"/>
    <mergeCell ref="C10:AX10"/>
    <mergeCell ref="C11:AX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180" verticalDpi="180" orientation="landscape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4"/>
  <sheetViews>
    <sheetView view="pageBreakPreview" zoomScale="85" zoomScaleSheetLayoutView="85" zoomScalePageLayoutView="0" workbookViewId="0" topLeftCell="A10">
      <selection activeCell="AV17" sqref="AV17"/>
    </sheetView>
  </sheetViews>
  <sheetFormatPr defaultColWidth="9.140625" defaultRowHeight="15"/>
  <cols>
    <col min="1" max="1" width="3.140625" style="4" customWidth="1"/>
    <col min="2" max="2" width="6.28125" style="1" customWidth="1"/>
    <col min="3" max="3" width="23.00390625" style="4" customWidth="1"/>
    <col min="4" max="4" width="37.140625" style="4" customWidth="1"/>
    <col min="5" max="5" width="30.8515625" style="37" hidden="1" customWidth="1"/>
    <col min="6" max="6" width="38.7109375" style="37" hidden="1" customWidth="1"/>
    <col min="7" max="8" width="8.8515625" style="38" hidden="1" customWidth="1"/>
    <col min="9" max="9" width="16.7109375" style="38" hidden="1" customWidth="1"/>
    <col min="10" max="10" width="11.00390625" style="38" hidden="1" customWidth="1"/>
    <col min="11" max="11" width="12.57421875" style="38" hidden="1" customWidth="1"/>
    <col min="12" max="12" width="12.140625" style="38" hidden="1" customWidth="1"/>
    <col min="13" max="13" width="15.57421875" style="38" hidden="1" customWidth="1"/>
    <col min="14" max="14" width="8.8515625" style="38" hidden="1" customWidth="1"/>
    <col min="15" max="15" width="5.7109375" style="38" hidden="1" customWidth="1"/>
    <col min="16" max="16" width="8.8515625" style="38" hidden="1" customWidth="1"/>
    <col min="17" max="17" width="5.7109375" style="38" hidden="1" customWidth="1"/>
    <col min="18" max="18" width="8.8515625" style="38" hidden="1" customWidth="1"/>
    <col min="19" max="19" width="15.8515625" style="38" hidden="1" customWidth="1"/>
    <col min="20" max="21" width="15.8515625" style="39" hidden="1" customWidth="1"/>
    <col min="22" max="23" width="15.8515625" style="4" hidden="1" customWidth="1"/>
    <col min="24" max="24" width="12.57421875" style="37" hidden="1" customWidth="1"/>
    <col min="25" max="25" width="13.00390625" style="37" hidden="1" customWidth="1"/>
    <col min="26" max="26" width="8.7109375" style="37" hidden="1" customWidth="1"/>
    <col min="27" max="27" width="13.140625" style="37" hidden="1" customWidth="1"/>
    <col min="28" max="28" width="10.57421875" style="11" hidden="1" customWidth="1"/>
    <col min="29" max="29" width="13.00390625" style="4" hidden="1" customWidth="1"/>
    <col min="30" max="30" width="9.57421875" style="37" hidden="1" customWidth="1"/>
    <col min="31" max="31" width="11.57421875" style="37" hidden="1" customWidth="1"/>
    <col min="32" max="32" width="9.28125" style="37" hidden="1" customWidth="1"/>
    <col min="33" max="33" width="14.421875" style="37" hidden="1" customWidth="1"/>
    <col min="34" max="34" width="10.57421875" style="37" hidden="1" customWidth="1"/>
    <col min="35" max="35" width="13.00390625" style="37" hidden="1" customWidth="1"/>
    <col min="36" max="36" width="10.57421875" style="11" hidden="1" customWidth="1"/>
    <col min="37" max="37" width="14.140625" style="188" hidden="1" customWidth="1"/>
    <col min="38" max="38" width="10.57421875" style="11" hidden="1" customWidth="1"/>
    <col min="39" max="39" width="13.00390625" style="4" hidden="1" customWidth="1"/>
    <col min="40" max="40" width="16.00390625" style="189" hidden="1" customWidth="1"/>
    <col min="41" max="41" width="14.7109375" style="37" hidden="1" customWidth="1"/>
    <col min="42" max="42" width="11.57421875" style="57" customWidth="1"/>
    <col min="43" max="43" width="13.00390625" style="58" customWidth="1"/>
    <col min="44" max="44" width="14.8515625" style="38" customWidth="1"/>
    <col min="45" max="45" width="15.00390625" style="38" customWidth="1"/>
    <col min="46" max="46" width="10.57421875" style="12" customWidth="1"/>
    <col min="47" max="47" width="14.421875" style="1" customWidth="1"/>
    <col min="48" max="48" width="10.57421875" style="270" customWidth="1"/>
    <col min="49" max="49" width="11.28125" style="1" customWidth="1"/>
    <col min="50" max="50" width="12.00390625" style="1" customWidth="1"/>
    <col min="51" max="51" width="8.421875" style="1" customWidth="1"/>
    <col min="52" max="52" width="12.140625" style="1" customWidth="1"/>
    <col min="53" max="53" width="11.57421875" style="1" customWidth="1"/>
    <col min="54" max="54" width="14.421875" style="4" customWidth="1"/>
    <col min="55" max="55" width="5.7109375" style="4" customWidth="1"/>
    <col min="56" max="56" width="9.140625" style="4" customWidth="1"/>
    <col min="57" max="16384" width="9.140625" style="4" customWidth="1"/>
  </cols>
  <sheetData>
    <row r="1" spans="2:53" s="197" customFormat="1" ht="21.75" customHeight="1">
      <c r="B1" s="198"/>
      <c r="E1" s="199"/>
      <c r="F1" s="199"/>
      <c r="G1" s="29"/>
      <c r="H1" s="2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29"/>
      <c r="U1" s="29"/>
      <c r="V1" s="200"/>
      <c r="W1" s="200"/>
      <c r="X1" s="201"/>
      <c r="Y1" s="201"/>
      <c r="Z1" s="201"/>
      <c r="AA1" s="201"/>
      <c r="AB1" s="202"/>
      <c r="AD1" s="201"/>
      <c r="AE1" s="201"/>
      <c r="AF1" s="201"/>
      <c r="AG1" s="201"/>
      <c r="AH1" s="201"/>
      <c r="AI1" s="201"/>
      <c r="AJ1" s="202"/>
      <c r="AK1" s="203"/>
      <c r="AL1" s="204" t="s">
        <v>0</v>
      </c>
      <c r="AN1" s="205"/>
      <c r="AO1" s="201"/>
      <c r="AP1" s="206"/>
      <c r="AQ1" s="207"/>
      <c r="AR1" s="201"/>
      <c r="AS1" s="201"/>
      <c r="AT1" s="202"/>
      <c r="AV1" s="208"/>
      <c r="AW1" s="208"/>
      <c r="AX1" s="208"/>
      <c r="AY1" s="208"/>
      <c r="AZ1" s="208"/>
      <c r="BA1" s="208"/>
    </row>
    <row r="2" spans="2:53" s="197" customFormat="1" ht="15" customHeight="1">
      <c r="B2" s="198"/>
      <c r="E2" s="199"/>
      <c r="F2" s="199"/>
      <c r="G2" s="29"/>
      <c r="H2" s="2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29"/>
      <c r="U2" s="29"/>
      <c r="V2" s="200"/>
      <c r="W2" s="200"/>
      <c r="X2" s="201"/>
      <c r="Y2" s="201"/>
      <c r="Z2" s="201"/>
      <c r="AA2" s="201"/>
      <c r="AB2" s="202"/>
      <c r="AD2" s="201"/>
      <c r="AE2" s="201"/>
      <c r="AF2" s="201"/>
      <c r="AG2" s="201"/>
      <c r="AH2" s="201"/>
      <c r="AI2" s="201"/>
      <c r="AJ2" s="202"/>
      <c r="AK2" s="203"/>
      <c r="AL2" s="202" t="s">
        <v>1</v>
      </c>
      <c r="AN2" s="205"/>
      <c r="AO2" s="201"/>
      <c r="AP2" s="206"/>
      <c r="AQ2" s="207"/>
      <c r="AR2" s="201"/>
      <c r="AS2" s="201"/>
      <c r="AT2" s="202"/>
      <c r="AV2" s="208"/>
      <c r="AW2" s="208"/>
      <c r="AX2" s="208"/>
      <c r="AY2" s="208"/>
      <c r="AZ2" s="208"/>
      <c r="BA2" s="208"/>
    </row>
    <row r="3" spans="2:53" s="197" customFormat="1" ht="15.75">
      <c r="B3" s="198"/>
      <c r="E3" s="199"/>
      <c r="F3" s="199"/>
      <c r="G3" s="29"/>
      <c r="H3" s="2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9"/>
      <c r="U3" s="29"/>
      <c r="V3" s="200"/>
      <c r="W3" s="200"/>
      <c r="X3" s="201"/>
      <c r="Y3" s="201"/>
      <c r="Z3" s="201"/>
      <c r="AA3" s="201"/>
      <c r="AB3" s="202"/>
      <c r="AD3" s="201"/>
      <c r="AE3" s="201"/>
      <c r="AF3" s="201"/>
      <c r="AG3" s="201"/>
      <c r="AH3" s="201"/>
      <c r="AI3" s="201"/>
      <c r="AJ3" s="202"/>
      <c r="AK3" s="203"/>
      <c r="AL3" s="202" t="s">
        <v>2</v>
      </c>
      <c r="AN3" s="205"/>
      <c r="AO3" s="201"/>
      <c r="AP3" s="206"/>
      <c r="AQ3" s="207"/>
      <c r="AR3" s="201"/>
      <c r="AS3" s="201"/>
      <c r="AT3" s="202"/>
      <c r="AV3" s="208"/>
      <c r="AW3" s="208"/>
      <c r="AX3" s="208"/>
      <c r="AY3" s="208"/>
      <c r="AZ3" s="208"/>
      <c r="BA3" s="208"/>
    </row>
    <row r="4" spans="2:53" s="197" customFormat="1" ht="15.75">
      <c r="B4" s="198"/>
      <c r="E4" s="199"/>
      <c r="F4" s="199"/>
      <c r="G4" s="29"/>
      <c r="H4" s="2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9"/>
      <c r="U4" s="29"/>
      <c r="V4" s="200"/>
      <c r="W4" s="200"/>
      <c r="X4" s="201"/>
      <c r="Y4" s="201"/>
      <c r="Z4" s="201"/>
      <c r="AA4" s="201"/>
      <c r="AB4" s="202"/>
      <c r="AD4" s="201"/>
      <c r="AE4" s="201"/>
      <c r="AF4" s="201"/>
      <c r="AG4" s="201"/>
      <c r="AH4" s="201"/>
      <c r="AI4" s="201"/>
      <c r="AJ4" s="202"/>
      <c r="AK4" s="203"/>
      <c r="AL4" s="202" t="s">
        <v>3</v>
      </c>
      <c r="AN4" s="205"/>
      <c r="AO4" s="201"/>
      <c r="AP4" s="206"/>
      <c r="AQ4" s="207"/>
      <c r="AR4" s="201"/>
      <c r="AS4" s="201"/>
      <c r="AT4" s="202"/>
      <c r="AV4" s="208"/>
      <c r="AW4" s="208"/>
      <c r="AX4" s="208"/>
      <c r="AY4" s="208"/>
      <c r="AZ4" s="208"/>
      <c r="BA4" s="208"/>
    </row>
    <row r="5" spans="2:53" s="197" customFormat="1" ht="15.75" hidden="1">
      <c r="B5" s="198"/>
      <c r="E5" s="199"/>
      <c r="F5" s="199"/>
      <c r="G5" s="29"/>
      <c r="H5" s="2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29"/>
      <c r="U5" s="29"/>
      <c r="V5" s="200"/>
      <c r="W5" s="200"/>
      <c r="X5" s="201"/>
      <c r="Y5" s="201"/>
      <c r="Z5" s="201"/>
      <c r="AA5" s="201"/>
      <c r="AB5" s="202"/>
      <c r="AD5" s="201"/>
      <c r="AE5" s="201"/>
      <c r="AF5" s="201"/>
      <c r="AG5" s="201"/>
      <c r="AH5" s="201"/>
      <c r="AI5" s="201"/>
      <c r="AJ5" s="202"/>
      <c r="AK5" s="203"/>
      <c r="AL5" s="202"/>
      <c r="AN5" s="205"/>
      <c r="AO5" s="201"/>
      <c r="AP5" s="206"/>
      <c r="AQ5" s="207"/>
      <c r="AR5" s="201"/>
      <c r="AS5" s="201"/>
      <c r="AT5" s="202"/>
      <c r="AV5" s="208"/>
      <c r="AW5" s="208"/>
      <c r="AX5" s="208"/>
      <c r="AY5" s="208"/>
      <c r="AZ5" s="208"/>
      <c r="BA5" s="208"/>
    </row>
    <row r="6" spans="2:53" s="197" customFormat="1" ht="18.75">
      <c r="B6" s="198"/>
      <c r="C6" s="645" t="s">
        <v>4</v>
      </c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45"/>
      <c r="AA6" s="645"/>
      <c r="AB6" s="645"/>
      <c r="AC6" s="645"/>
      <c r="AD6" s="645"/>
      <c r="AE6" s="645"/>
      <c r="AF6" s="645"/>
      <c r="AG6" s="645"/>
      <c r="AH6" s="645"/>
      <c r="AI6" s="645"/>
      <c r="AJ6" s="645"/>
      <c r="AK6" s="645"/>
      <c r="AL6" s="645"/>
      <c r="AM6" s="645"/>
      <c r="AN6" s="645"/>
      <c r="AO6" s="645"/>
      <c r="AP6" s="645"/>
      <c r="AQ6" s="645"/>
      <c r="AR6" s="645"/>
      <c r="AS6" s="645"/>
      <c r="AT6" s="645"/>
      <c r="AU6" s="645"/>
      <c r="AV6" s="645"/>
      <c r="AW6" s="645"/>
      <c r="AX6" s="645"/>
      <c r="AY6" s="209"/>
      <c r="AZ6" s="209"/>
      <c r="BA6" s="209"/>
    </row>
    <row r="7" spans="2:53" s="197" customFormat="1" ht="18.75">
      <c r="B7" s="198"/>
      <c r="C7" s="646" t="s">
        <v>5</v>
      </c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6"/>
      <c r="AE7" s="646"/>
      <c r="AF7" s="646"/>
      <c r="AG7" s="646"/>
      <c r="AH7" s="646"/>
      <c r="AI7" s="646"/>
      <c r="AJ7" s="646"/>
      <c r="AK7" s="646"/>
      <c r="AL7" s="646"/>
      <c r="AM7" s="646"/>
      <c r="AN7" s="646"/>
      <c r="AO7" s="646"/>
      <c r="AP7" s="646"/>
      <c r="AQ7" s="646"/>
      <c r="AR7" s="646"/>
      <c r="AS7" s="646"/>
      <c r="AT7" s="646"/>
      <c r="AU7" s="646"/>
      <c r="AV7" s="646"/>
      <c r="AW7" s="646"/>
      <c r="AX7" s="646"/>
      <c r="AY7" s="210"/>
      <c r="AZ7" s="210"/>
      <c r="BA7" s="210"/>
    </row>
    <row r="8" spans="2:53" s="197" customFormat="1" ht="18.75">
      <c r="B8" s="198"/>
      <c r="C8" s="646" t="s">
        <v>6</v>
      </c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46"/>
      <c r="AQ8" s="646"/>
      <c r="AR8" s="646"/>
      <c r="AS8" s="646"/>
      <c r="AT8" s="646"/>
      <c r="AU8" s="646"/>
      <c r="AV8" s="646"/>
      <c r="AW8" s="646"/>
      <c r="AX8" s="646"/>
      <c r="AY8" s="210"/>
      <c r="AZ8" s="210"/>
      <c r="BA8" s="210"/>
    </row>
    <row r="9" spans="2:53" s="197" customFormat="1" ht="18.75">
      <c r="B9" s="211"/>
      <c r="C9" s="647" t="s">
        <v>82</v>
      </c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7"/>
      <c r="V9" s="647"/>
      <c r="W9" s="647"/>
      <c r="X9" s="647"/>
      <c r="Y9" s="647"/>
      <c r="Z9" s="647"/>
      <c r="AA9" s="647"/>
      <c r="AB9" s="647"/>
      <c r="AC9" s="647"/>
      <c r="AD9" s="647"/>
      <c r="AE9" s="647"/>
      <c r="AF9" s="647"/>
      <c r="AG9" s="647"/>
      <c r="AH9" s="647"/>
      <c r="AI9" s="647"/>
      <c r="AJ9" s="647"/>
      <c r="AK9" s="647"/>
      <c r="AL9" s="647"/>
      <c r="AM9" s="647"/>
      <c r="AN9" s="647"/>
      <c r="AO9" s="647"/>
      <c r="AP9" s="647"/>
      <c r="AQ9" s="647"/>
      <c r="AR9" s="647"/>
      <c r="AS9" s="647"/>
      <c r="AT9" s="647"/>
      <c r="AU9" s="647"/>
      <c r="AV9" s="647"/>
      <c r="AW9" s="647"/>
      <c r="AX9" s="647"/>
      <c r="AY9" s="212"/>
      <c r="AZ9" s="212"/>
      <c r="BA9" s="212"/>
    </row>
    <row r="10" spans="2:53" s="197" customFormat="1" ht="18.75">
      <c r="B10" s="211"/>
      <c r="C10" s="647" t="s">
        <v>116</v>
      </c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7"/>
      <c r="AT10" s="647"/>
      <c r="AU10" s="647"/>
      <c r="AV10" s="647"/>
      <c r="AW10" s="647"/>
      <c r="AX10" s="647"/>
      <c r="AY10" s="212"/>
      <c r="AZ10" s="212"/>
      <c r="BA10" s="212"/>
    </row>
    <row r="11" spans="2:53" s="213" customFormat="1" ht="18.75">
      <c r="B11" s="214"/>
      <c r="C11" s="648" t="s">
        <v>7</v>
      </c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648"/>
      <c r="AQ11" s="648"/>
      <c r="AR11" s="648"/>
      <c r="AS11" s="648"/>
      <c r="AT11" s="648"/>
      <c r="AU11" s="648"/>
      <c r="AV11" s="648"/>
      <c r="AW11" s="648"/>
      <c r="AX11" s="648"/>
      <c r="AY11" s="215"/>
      <c r="AZ11" s="215"/>
      <c r="BA11" s="215"/>
    </row>
    <row r="12" spans="3:53" ht="18.75" hidden="1">
      <c r="C12" s="216"/>
      <c r="D12" s="216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6"/>
      <c r="W12" s="216"/>
      <c r="X12" s="217"/>
      <c r="Y12" s="217"/>
      <c r="Z12" s="217"/>
      <c r="AA12" s="217"/>
      <c r="AB12" s="216"/>
      <c r="AC12" s="216"/>
      <c r="AD12" s="217"/>
      <c r="AE12" s="217"/>
      <c r="AF12" s="217"/>
      <c r="AG12" s="217"/>
      <c r="AH12" s="217"/>
      <c r="AI12" s="217"/>
      <c r="AJ12" s="216"/>
      <c r="AK12" s="218"/>
      <c r="AL12" s="216"/>
      <c r="AM12" s="216"/>
      <c r="AN12" s="219"/>
      <c r="AO12" s="217"/>
      <c r="AP12" s="220"/>
      <c r="AQ12" s="221"/>
      <c r="AR12" s="222"/>
      <c r="AS12" s="222"/>
      <c r="AT12" s="221"/>
      <c r="AU12" s="222"/>
      <c r="AV12" s="222"/>
      <c r="AW12" s="222"/>
      <c r="AX12" s="222"/>
      <c r="AY12" s="222"/>
      <c r="AZ12" s="222"/>
      <c r="BA12" s="222"/>
    </row>
    <row r="13" spans="3:53" ht="20.25" customHeight="1" hidden="1">
      <c r="C13" s="223"/>
      <c r="D13" s="223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3"/>
      <c r="W13" s="223"/>
      <c r="X13" s="224"/>
      <c r="Y13" s="224"/>
      <c r="Z13" s="224"/>
      <c r="AA13" s="224"/>
      <c r="AB13" s="223"/>
      <c r="AC13" s="223"/>
      <c r="AD13" s="224"/>
      <c r="AE13" s="224"/>
      <c r="AF13" s="224"/>
      <c r="AG13" s="224"/>
      <c r="AH13" s="224"/>
      <c r="AI13" s="224"/>
      <c r="AJ13" s="223"/>
      <c r="AK13" s="225"/>
      <c r="AL13" s="223"/>
      <c r="AM13" s="223"/>
      <c r="AN13" s="226"/>
      <c r="AO13" s="224"/>
      <c r="AP13" s="649"/>
      <c r="AQ13" s="649"/>
      <c r="AR13" s="649"/>
      <c r="AS13" s="649"/>
      <c r="AT13" s="649"/>
      <c r="AU13" s="649"/>
      <c r="AV13" s="649"/>
      <c r="AW13" s="649"/>
      <c r="AX13" s="649"/>
      <c r="AY13" s="519"/>
      <c r="AZ13" s="519"/>
      <c r="BA13" s="519"/>
    </row>
    <row r="14" spans="2:53" s="1" customFormat="1" ht="29.25" customHeight="1">
      <c r="B14" s="633" t="s">
        <v>8</v>
      </c>
      <c r="C14" s="626" t="s">
        <v>9</v>
      </c>
      <c r="D14" s="626" t="s">
        <v>10</v>
      </c>
      <c r="E14" s="650" t="s">
        <v>11</v>
      </c>
      <c r="F14" s="650" t="s">
        <v>102</v>
      </c>
      <c r="G14" s="653" t="s">
        <v>12</v>
      </c>
      <c r="H14" s="653" t="s">
        <v>13</v>
      </c>
      <c r="I14" s="650" t="s">
        <v>14</v>
      </c>
      <c r="J14" s="650" t="s">
        <v>15</v>
      </c>
      <c r="K14" s="650" t="s">
        <v>16</v>
      </c>
      <c r="L14" s="654" t="s">
        <v>119</v>
      </c>
      <c r="M14" s="654"/>
      <c r="N14" s="655" t="s">
        <v>17</v>
      </c>
      <c r="O14" s="656"/>
      <c r="P14" s="656"/>
      <c r="Q14" s="656"/>
      <c r="R14" s="656"/>
      <c r="S14" s="657"/>
      <c r="T14" s="658" t="s">
        <v>18</v>
      </c>
      <c r="U14" s="658" t="s">
        <v>19</v>
      </c>
      <c r="V14" s="629" t="s">
        <v>20</v>
      </c>
      <c r="W14" s="630"/>
      <c r="X14" s="661" t="s">
        <v>21</v>
      </c>
      <c r="Y14" s="662"/>
      <c r="Z14" s="661" t="s">
        <v>22</v>
      </c>
      <c r="AA14" s="662"/>
      <c r="AB14" s="606" t="s">
        <v>23</v>
      </c>
      <c r="AC14" s="606"/>
      <c r="AD14" s="665" t="s">
        <v>71</v>
      </c>
      <c r="AE14" s="665"/>
      <c r="AF14" s="665"/>
      <c r="AG14" s="665"/>
      <c r="AH14" s="665"/>
      <c r="AI14" s="665"/>
      <c r="AJ14" s="606" t="s">
        <v>91</v>
      </c>
      <c r="AK14" s="606"/>
      <c r="AL14" s="606" t="s">
        <v>92</v>
      </c>
      <c r="AM14" s="606"/>
      <c r="AN14" s="666" t="s">
        <v>115</v>
      </c>
      <c r="AO14" s="666"/>
      <c r="AP14" s="669" t="s">
        <v>24</v>
      </c>
      <c r="AQ14" s="666" t="s">
        <v>25</v>
      </c>
      <c r="AR14" s="665"/>
      <c r="AS14" s="665"/>
      <c r="AT14" s="615" t="s">
        <v>114</v>
      </c>
      <c r="AU14" s="616"/>
      <c r="AV14" s="616"/>
      <c r="AW14" s="616"/>
      <c r="AX14" s="616"/>
      <c r="AY14" s="616"/>
      <c r="AZ14" s="616"/>
      <c r="BA14" s="617"/>
    </row>
    <row r="15" spans="2:53" s="1" customFormat="1" ht="33.75" customHeight="1">
      <c r="B15" s="634"/>
      <c r="C15" s="627"/>
      <c r="D15" s="627"/>
      <c r="E15" s="651"/>
      <c r="F15" s="651"/>
      <c r="G15" s="653"/>
      <c r="H15" s="653"/>
      <c r="I15" s="651"/>
      <c r="J15" s="651"/>
      <c r="K15" s="651"/>
      <c r="L15" s="654"/>
      <c r="M15" s="654"/>
      <c r="N15" s="655" t="s">
        <v>26</v>
      </c>
      <c r="O15" s="657"/>
      <c r="P15" s="655" t="s">
        <v>86</v>
      </c>
      <c r="Q15" s="657"/>
      <c r="R15" s="655" t="s">
        <v>87</v>
      </c>
      <c r="S15" s="657"/>
      <c r="T15" s="659"/>
      <c r="U15" s="659"/>
      <c r="V15" s="631"/>
      <c r="W15" s="632"/>
      <c r="X15" s="663"/>
      <c r="Y15" s="664"/>
      <c r="Z15" s="663"/>
      <c r="AA15" s="664"/>
      <c r="AB15" s="606"/>
      <c r="AC15" s="606"/>
      <c r="AD15" s="654" t="s">
        <v>88</v>
      </c>
      <c r="AE15" s="654"/>
      <c r="AF15" s="654" t="s">
        <v>89</v>
      </c>
      <c r="AG15" s="654"/>
      <c r="AH15" s="654" t="s">
        <v>90</v>
      </c>
      <c r="AI15" s="654"/>
      <c r="AJ15" s="606"/>
      <c r="AK15" s="606"/>
      <c r="AL15" s="606"/>
      <c r="AM15" s="606"/>
      <c r="AN15" s="666"/>
      <c r="AO15" s="666"/>
      <c r="AP15" s="669"/>
      <c r="AQ15" s="665"/>
      <c r="AR15" s="665"/>
      <c r="AS15" s="665"/>
      <c r="AT15" s="614" t="s">
        <v>27</v>
      </c>
      <c r="AU15" s="614"/>
      <c r="AV15" s="607" t="s">
        <v>28</v>
      </c>
      <c r="AW15" s="608"/>
      <c r="AX15" s="608"/>
      <c r="AY15" s="608"/>
      <c r="AZ15" s="608"/>
      <c r="BA15" s="609"/>
    </row>
    <row r="16" spans="2:53" ht="48">
      <c r="B16" s="635"/>
      <c r="C16" s="628"/>
      <c r="D16" s="628"/>
      <c r="E16" s="652"/>
      <c r="F16" s="652"/>
      <c r="G16" s="653"/>
      <c r="H16" s="653"/>
      <c r="I16" s="652"/>
      <c r="J16" s="652"/>
      <c r="K16" s="652"/>
      <c r="L16" s="518" t="s">
        <v>29</v>
      </c>
      <c r="M16" s="518" t="s">
        <v>30</v>
      </c>
      <c r="N16" s="518" t="s">
        <v>29</v>
      </c>
      <c r="O16" s="518" t="s">
        <v>30</v>
      </c>
      <c r="P16" s="518" t="s">
        <v>29</v>
      </c>
      <c r="Q16" s="518" t="s">
        <v>30</v>
      </c>
      <c r="R16" s="518" t="s">
        <v>29</v>
      </c>
      <c r="S16" s="518" t="s">
        <v>30</v>
      </c>
      <c r="T16" s="660"/>
      <c r="U16" s="660"/>
      <c r="V16" s="2" t="s">
        <v>31</v>
      </c>
      <c r="W16" s="2" t="s">
        <v>32</v>
      </c>
      <c r="X16" s="47" t="s">
        <v>31</v>
      </c>
      <c r="Y16" s="47" t="s">
        <v>32</v>
      </c>
      <c r="Z16" s="47" t="s">
        <v>31</v>
      </c>
      <c r="AA16" s="47" t="s">
        <v>32</v>
      </c>
      <c r="AB16" s="516" t="s">
        <v>33</v>
      </c>
      <c r="AC16" s="516" t="s">
        <v>34</v>
      </c>
      <c r="AD16" s="50" t="s">
        <v>29</v>
      </c>
      <c r="AE16" s="50" t="s">
        <v>30</v>
      </c>
      <c r="AF16" s="50" t="s">
        <v>29</v>
      </c>
      <c r="AG16" s="50" t="s">
        <v>30</v>
      </c>
      <c r="AH16" s="50" t="s">
        <v>29</v>
      </c>
      <c r="AI16" s="50" t="s">
        <v>30</v>
      </c>
      <c r="AJ16" s="516" t="s">
        <v>33</v>
      </c>
      <c r="AK16" s="176" t="s">
        <v>34</v>
      </c>
      <c r="AL16" s="516" t="s">
        <v>33</v>
      </c>
      <c r="AM16" s="516" t="s">
        <v>34</v>
      </c>
      <c r="AN16" s="177" t="s">
        <v>33</v>
      </c>
      <c r="AO16" s="55" t="s">
        <v>34</v>
      </c>
      <c r="AP16" s="53" t="s">
        <v>33</v>
      </c>
      <c r="AQ16" s="517" t="s">
        <v>33</v>
      </c>
      <c r="AR16" s="517" t="s">
        <v>35</v>
      </c>
      <c r="AS16" s="517" t="s">
        <v>34</v>
      </c>
      <c r="AT16" s="516" t="s">
        <v>33</v>
      </c>
      <c r="AU16" s="516" t="s">
        <v>34</v>
      </c>
      <c r="AV16" s="158" t="s">
        <v>81</v>
      </c>
      <c r="AW16" s="159" t="s">
        <v>36</v>
      </c>
      <c r="AX16" s="159" t="s">
        <v>37</v>
      </c>
      <c r="AY16" s="159" t="s">
        <v>67</v>
      </c>
      <c r="AZ16" s="159" t="s">
        <v>66</v>
      </c>
      <c r="BA16" s="159" t="s">
        <v>38</v>
      </c>
    </row>
    <row r="17" spans="2:55" s="472" customFormat="1" ht="15.75">
      <c r="B17" s="473">
        <v>1</v>
      </c>
      <c r="C17" s="388" t="s">
        <v>44</v>
      </c>
      <c r="D17" s="474" t="s">
        <v>108</v>
      </c>
      <c r="E17" s="475" t="s">
        <v>110</v>
      </c>
      <c r="F17" s="476" t="s">
        <v>112</v>
      </c>
      <c r="G17" s="391" t="s">
        <v>47</v>
      </c>
      <c r="H17" s="391" t="s">
        <v>47</v>
      </c>
      <c r="I17" s="477">
        <v>168</v>
      </c>
      <c r="J17" s="477">
        <v>200</v>
      </c>
      <c r="K17" s="477">
        <v>429.52</v>
      </c>
      <c r="L17" s="391">
        <v>33600</v>
      </c>
      <c r="M17" s="557">
        <v>14431872</v>
      </c>
      <c r="N17" s="478"/>
      <c r="O17" s="478"/>
      <c r="P17" s="478"/>
      <c r="Q17" s="478"/>
      <c r="R17" s="478"/>
      <c r="S17" s="478"/>
      <c r="T17" s="479">
        <v>1121842</v>
      </c>
      <c r="U17" s="480">
        <v>44773</v>
      </c>
      <c r="V17" s="481">
        <v>309</v>
      </c>
      <c r="W17" s="482">
        <v>43873</v>
      </c>
      <c r="X17" s="481" t="s">
        <v>113</v>
      </c>
      <c r="Y17" s="482">
        <v>43878</v>
      </c>
      <c r="Z17" s="481"/>
      <c r="AA17" s="481"/>
      <c r="AB17" s="397">
        <v>0</v>
      </c>
      <c r="AC17" s="397">
        <v>0</v>
      </c>
      <c r="AD17" s="483"/>
      <c r="AE17" s="483"/>
      <c r="AF17" s="483">
        <v>2520</v>
      </c>
      <c r="AG17" s="483">
        <v>963704.25</v>
      </c>
      <c r="AH17" s="483"/>
      <c r="AI17" s="483"/>
      <c r="AJ17" s="400">
        <f aca="true" t="shared" si="0" ref="AJ17:AK34">AD17+AF17+AH17</f>
        <v>2520</v>
      </c>
      <c r="AK17" s="403">
        <f t="shared" si="0"/>
        <v>963704.25</v>
      </c>
      <c r="AL17" s="503">
        <f>AB17+AJ17-AT17</f>
        <v>0</v>
      </c>
      <c r="AM17" s="403">
        <f>AC17+AG17-AS17</f>
        <v>963704.25</v>
      </c>
      <c r="AN17" s="504">
        <v>2520</v>
      </c>
      <c r="AO17" s="505">
        <v>963704.24999856</v>
      </c>
      <c r="AP17" s="403"/>
      <c r="AQ17" s="403"/>
      <c r="AR17" s="403">
        <v>382.422321428</v>
      </c>
      <c r="AS17" s="401">
        <f>AQ17*AR17</f>
        <v>0</v>
      </c>
      <c r="AT17" s="511">
        <f>SUM(AV17:BA17)</f>
        <v>2520</v>
      </c>
      <c r="AU17" s="403">
        <f>AR17*AT17</f>
        <v>963704.24999856</v>
      </c>
      <c r="AV17" s="514">
        <v>2520</v>
      </c>
      <c r="AW17" s="506"/>
      <c r="AX17" s="506"/>
      <c r="AY17" s="506"/>
      <c r="AZ17" s="506"/>
      <c r="BA17" s="506"/>
      <c r="BB17" s="407">
        <f aca="true" t="shared" si="1" ref="BB17:BB23">AB17+AJ17-AL17</f>
        <v>2520</v>
      </c>
      <c r="BC17" s="407">
        <f aca="true" t="shared" si="2" ref="BC17:BC23">BB17-AT17</f>
        <v>0</v>
      </c>
    </row>
    <row r="18" spans="2:55" s="484" customFormat="1" ht="15.75">
      <c r="B18" s="485">
        <v>2</v>
      </c>
      <c r="C18" s="486" t="s">
        <v>44</v>
      </c>
      <c r="D18" s="487" t="s">
        <v>109</v>
      </c>
      <c r="E18" s="488" t="s">
        <v>111</v>
      </c>
      <c r="F18" s="489" t="s">
        <v>112</v>
      </c>
      <c r="G18" s="490" t="s">
        <v>47</v>
      </c>
      <c r="H18" s="490" t="s">
        <v>47</v>
      </c>
      <c r="I18" s="491">
        <v>168</v>
      </c>
      <c r="J18" s="491">
        <v>200</v>
      </c>
      <c r="K18" s="491">
        <v>37.37</v>
      </c>
      <c r="L18" s="490">
        <v>33600</v>
      </c>
      <c r="M18" s="558">
        <v>1255632</v>
      </c>
      <c r="N18" s="492"/>
      <c r="O18" s="492"/>
      <c r="P18" s="492"/>
      <c r="Q18" s="492"/>
      <c r="R18" s="492"/>
      <c r="S18" s="492"/>
      <c r="T18" s="493">
        <v>1121711</v>
      </c>
      <c r="U18" s="494">
        <v>44712</v>
      </c>
      <c r="V18" s="495">
        <v>309</v>
      </c>
      <c r="W18" s="496">
        <v>43873</v>
      </c>
      <c r="X18" s="495" t="s">
        <v>113</v>
      </c>
      <c r="Y18" s="496">
        <v>43878</v>
      </c>
      <c r="Z18" s="495"/>
      <c r="AA18" s="495"/>
      <c r="AB18" s="497">
        <v>0</v>
      </c>
      <c r="AC18" s="497">
        <v>0</v>
      </c>
      <c r="AD18" s="498"/>
      <c r="AE18" s="498"/>
      <c r="AF18" s="498">
        <v>2520</v>
      </c>
      <c r="AG18" s="498">
        <v>83795.85</v>
      </c>
      <c r="AH18" s="498"/>
      <c r="AI18" s="498"/>
      <c r="AJ18" s="499">
        <f t="shared" si="0"/>
        <v>2520</v>
      </c>
      <c r="AK18" s="500">
        <f t="shared" si="0"/>
        <v>83795.85</v>
      </c>
      <c r="AL18" s="507">
        <f>AB18+AJ18-AT18</f>
        <v>0</v>
      </c>
      <c r="AM18" s="500">
        <f>AC18+AG18-AS18</f>
        <v>83795.85</v>
      </c>
      <c r="AN18" s="508">
        <v>2520</v>
      </c>
      <c r="AO18" s="509">
        <v>83795.85000107999</v>
      </c>
      <c r="AP18" s="500"/>
      <c r="AQ18" s="500"/>
      <c r="AR18" s="500">
        <v>33.252321429</v>
      </c>
      <c r="AS18" s="501">
        <f>AQ18*AR18</f>
        <v>0</v>
      </c>
      <c r="AT18" s="512">
        <f>SUM(AV18:BA18)</f>
        <v>2520</v>
      </c>
      <c r="AU18" s="500">
        <f>AR18*AT18</f>
        <v>83795.85000107999</v>
      </c>
      <c r="AV18" s="515">
        <v>2520</v>
      </c>
      <c r="AW18" s="510"/>
      <c r="AX18" s="510"/>
      <c r="AY18" s="510"/>
      <c r="AZ18" s="510"/>
      <c r="BA18" s="510"/>
      <c r="BB18" s="502">
        <f t="shared" si="1"/>
        <v>2520</v>
      </c>
      <c r="BC18" s="502">
        <f t="shared" si="2"/>
        <v>0</v>
      </c>
    </row>
    <row r="19" spans="2:55" s="144" customFormat="1" ht="15.75">
      <c r="B19" s="365">
        <v>3</v>
      </c>
      <c r="C19" s="131" t="s">
        <v>44</v>
      </c>
      <c r="D19" s="145" t="s">
        <v>75</v>
      </c>
      <c r="E19" s="470" t="s">
        <v>69</v>
      </c>
      <c r="F19" s="471" t="s">
        <v>104</v>
      </c>
      <c r="G19" s="134" t="s">
        <v>47</v>
      </c>
      <c r="H19" s="134" t="s">
        <v>47</v>
      </c>
      <c r="I19" s="561">
        <v>84</v>
      </c>
      <c r="J19" s="561">
        <v>895</v>
      </c>
      <c r="K19" s="559">
        <v>249.07</v>
      </c>
      <c r="L19" s="562">
        <f>I19*J19</f>
        <v>75180</v>
      </c>
      <c r="M19" s="559">
        <f>K19*L19</f>
        <v>18725082.599999998</v>
      </c>
      <c r="N19" s="135"/>
      <c r="O19" s="135"/>
      <c r="P19" s="135"/>
      <c r="Q19" s="135"/>
      <c r="R19" s="135"/>
      <c r="S19" s="135"/>
      <c r="T19" s="132">
        <v>3098197</v>
      </c>
      <c r="U19" s="136">
        <v>44104</v>
      </c>
      <c r="V19" s="137">
        <v>1571</v>
      </c>
      <c r="W19" s="138">
        <v>43654</v>
      </c>
      <c r="X19" s="137" t="s">
        <v>76</v>
      </c>
      <c r="Y19" s="138">
        <v>43668</v>
      </c>
      <c r="Z19" s="137"/>
      <c r="AA19" s="137"/>
      <c r="AB19" s="139">
        <v>1064</v>
      </c>
      <c r="AC19" s="139">
        <v>33679.779999544</v>
      </c>
      <c r="AD19" s="140"/>
      <c r="AE19" s="140"/>
      <c r="AF19" s="140"/>
      <c r="AG19" s="140"/>
      <c r="AH19" s="140"/>
      <c r="AI19" s="140"/>
      <c r="AJ19" s="141">
        <f t="shared" si="0"/>
        <v>0</v>
      </c>
      <c r="AK19" s="178">
        <f t="shared" si="0"/>
        <v>0</v>
      </c>
      <c r="AL19" s="141">
        <f>AB19+AJ19-AT19</f>
        <v>588</v>
      </c>
      <c r="AM19" s="142">
        <f>AC19+AG19-AS19</f>
        <v>33679.779999544</v>
      </c>
      <c r="AN19" s="179">
        <v>476</v>
      </c>
      <c r="AO19" s="142">
        <v>15067.269999796</v>
      </c>
      <c r="AP19" s="143"/>
      <c r="AQ19" s="139"/>
      <c r="AR19" s="139">
        <v>31.653928571</v>
      </c>
      <c r="AS19" s="142">
        <f>AQ19*AR19</f>
        <v>0</v>
      </c>
      <c r="AT19" s="141">
        <f>SUM(AV19:BA19)</f>
        <v>476</v>
      </c>
      <c r="AU19" s="142">
        <f>AR19*AT19</f>
        <v>15067.269999796</v>
      </c>
      <c r="AV19" s="139">
        <f>1064-1064</f>
        <v>0</v>
      </c>
      <c r="AW19" s="131"/>
      <c r="AX19" s="131">
        <f>1064-588</f>
        <v>476</v>
      </c>
      <c r="AY19" s="131"/>
      <c r="AZ19" s="131"/>
      <c r="BA19" s="131"/>
      <c r="BB19" s="78">
        <f t="shared" si="1"/>
        <v>476</v>
      </c>
      <c r="BC19" s="79">
        <f t="shared" si="2"/>
        <v>0</v>
      </c>
    </row>
    <row r="20" spans="2:55" s="144" customFormat="1" ht="15.75">
      <c r="B20" s="365">
        <v>4</v>
      </c>
      <c r="C20" s="131" t="s">
        <v>44</v>
      </c>
      <c r="D20" s="145" t="s">
        <v>95</v>
      </c>
      <c r="E20" s="470" t="s">
        <v>69</v>
      </c>
      <c r="F20" s="471" t="s">
        <v>104</v>
      </c>
      <c r="G20" s="134" t="s">
        <v>47</v>
      </c>
      <c r="H20" s="134" t="s">
        <v>47</v>
      </c>
      <c r="I20" s="133"/>
      <c r="J20" s="133"/>
      <c r="K20" s="133"/>
      <c r="L20" s="134"/>
      <c r="M20" s="559"/>
      <c r="N20" s="135"/>
      <c r="O20" s="135"/>
      <c r="P20" s="135"/>
      <c r="Q20" s="135"/>
      <c r="R20" s="135"/>
      <c r="S20" s="135"/>
      <c r="T20" s="132">
        <v>3106643</v>
      </c>
      <c r="U20" s="136">
        <v>44377</v>
      </c>
      <c r="V20" s="137">
        <v>79</v>
      </c>
      <c r="W20" s="138">
        <v>43845</v>
      </c>
      <c r="X20" s="137" t="s">
        <v>96</v>
      </c>
      <c r="Y20" s="138">
        <v>43857</v>
      </c>
      <c r="Z20" s="137"/>
      <c r="AA20" s="137"/>
      <c r="AB20" s="139">
        <v>0</v>
      </c>
      <c r="AC20" s="139">
        <v>0</v>
      </c>
      <c r="AD20" s="140">
        <v>588</v>
      </c>
      <c r="AE20" s="140">
        <v>18847.29</v>
      </c>
      <c r="AF20" s="140"/>
      <c r="AG20" s="140"/>
      <c r="AH20" s="140"/>
      <c r="AI20" s="140"/>
      <c r="AJ20" s="141">
        <f t="shared" si="0"/>
        <v>588</v>
      </c>
      <c r="AK20" s="178">
        <f t="shared" si="0"/>
        <v>18847.29</v>
      </c>
      <c r="AL20" s="141">
        <f>AB20+AJ20-AT20</f>
        <v>0</v>
      </c>
      <c r="AM20" s="142">
        <f>AC20+AG20-AS20</f>
        <v>0</v>
      </c>
      <c r="AN20" s="179">
        <v>588</v>
      </c>
      <c r="AO20" s="142">
        <v>18847.290000168</v>
      </c>
      <c r="AP20" s="143"/>
      <c r="AQ20" s="139"/>
      <c r="AR20" s="139">
        <v>32.053214286</v>
      </c>
      <c r="AS20" s="142">
        <f>AQ20*AR20</f>
        <v>0</v>
      </c>
      <c r="AT20" s="141">
        <f aca="true" t="shared" si="3" ref="AT20:AT32">SUM(AV20:BA20)</f>
        <v>588</v>
      </c>
      <c r="AU20" s="142">
        <f>AR20*AT20</f>
        <v>18847.290000168</v>
      </c>
      <c r="AV20" s="139">
        <f>588-588</f>
        <v>0</v>
      </c>
      <c r="AW20" s="131"/>
      <c r="AX20" s="131">
        <f>588</f>
        <v>588</v>
      </c>
      <c r="AY20" s="131"/>
      <c r="AZ20" s="131"/>
      <c r="BA20" s="131"/>
      <c r="BB20" s="78">
        <f t="shared" si="1"/>
        <v>588</v>
      </c>
      <c r="BC20" s="79">
        <f t="shared" si="2"/>
        <v>0</v>
      </c>
    </row>
    <row r="21" spans="2:55" s="520" customFormat="1" ht="15.75" hidden="1">
      <c r="B21" s="521"/>
      <c r="C21" s="522"/>
      <c r="D21" s="523" t="s">
        <v>117</v>
      </c>
      <c r="E21" s="540" t="s">
        <v>39</v>
      </c>
      <c r="F21" s="524"/>
      <c r="G21" s="525" t="s">
        <v>118</v>
      </c>
      <c r="H21" s="525" t="s">
        <v>118</v>
      </c>
      <c r="I21" s="526">
        <v>504</v>
      </c>
      <c r="J21" s="526">
        <v>895</v>
      </c>
      <c r="K21" s="526">
        <v>2.79</v>
      </c>
      <c r="L21" s="525">
        <v>451080</v>
      </c>
      <c r="M21" s="560">
        <v>1258513.2</v>
      </c>
      <c r="N21" s="527"/>
      <c r="O21" s="527"/>
      <c r="P21" s="527"/>
      <c r="Q21" s="527"/>
      <c r="R21" s="527"/>
      <c r="S21" s="527"/>
      <c r="T21" s="528"/>
      <c r="U21" s="529"/>
      <c r="V21" s="530"/>
      <c r="W21" s="531"/>
      <c r="X21" s="530"/>
      <c r="Y21" s="531"/>
      <c r="Z21" s="530"/>
      <c r="AA21" s="530"/>
      <c r="AB21" s="532">
        <v>0</v>
      </c>
      <c r="AC21" s="532">
        <v>0</v>
      </c>
      <c r="AD21" s="533"/>
      <c r="AE21" s="533"/>
      <c r="AF21" s="533"/>
      <c r="AG21" s="533"/>
      <c r="AH21" s="533"/>
      <c r="AI21" s="533"/>
      <c r="AJ21" s="534">
        <v>0</v>
      </c>
      <c r="AK21" s="535">
        <v>0</v>
      </c>
      <c r="AL21" s="534">
        <v>0</v>
      </c>
      <c r="AM21" s="536">
        <v>0</v>
      </c>
      <c r="AN21" s="537">
        <v>0</v>
      </c>
      <c r="AO21" s="536">
        <v>0</v>
      </c>
      <c r="AP21" s="538"/>
      <c r="AQ21" s="532"/>
      <c r="AR21" s="532">
        <v>0</v>
      </c>
      <c r="AS21" s="536">
        <v>0</v>
      </c>
      <c r="AT21" s="534">
        <v>0</v>
      </c>
      <c r="AU21" s="536">
        <v>0</v>
      </c>
      <c r="AV21" s="532">
        <v>0</v>
      </c>
      <c r="AW21" s="522"/>
      <c r="AX21" s="522"/>
      <c r="AY21" s="522"/>
      <c r="AZ21" s="522"/>
      <c r="BA21" s="522"/>
      <c r="BB21" s="78">
        <f t="shared" si="1"/>
        <v>0</v>
      </c>
      <c r="BC21" s="79">
        <f t="shared" si="2"/>
        <v>0</v>
      </c>
    </row>
    <row r="22" spans="2:55" s="563" customFormat="1" ht="15.75">
      <c r="B22" s="564"/>
      <c r="C22" s="565" t="s">
        <v>44</v>
      </c>
      <c r="D22" s="566" t="s">
        <v>120</v>
      </c>
      <c r="E22" s="567" t="s">
        <v>42</v>
      </c>
      <c r="F22" s="568" t="s">
        <v>121</v>
      </c>
      <c r="G22" s="569" t="s">
        <v>122</v>
      </c>
      <c r="H22" s="569" t="s">
        <v>122</v>
      </c>
      <c r="I22" s="570"/>
      <c r="J22" s="570"/>
      <c r="K22" s="570"/>
      <c r="L22" s="569"/>
      <c r="M22" s="571"/>
      <c r="N22" s="572"/>
      <c r="O22" s="572"/>
      <c r="P22" s="572"/>
      <c r="Q22" s="572"/>
      <c r="R22" s="572"/>
      <c r="S22" s="572"/>
      <c r="T22" s="573" t="s">
        <v>123</v>
      </c>
      <c r="U22" s="574">
        <v>45017</v>
      </c>
      <c r="V22" s="575">
        <v>609</v>
      </c>
      <c r="W22" s="576">
        <v>43892</v>
      </c>
      <c r="X22" s="575" t="s">
        <v>124</v>
      </c>
      <c r="Y22" s="576">
        <v>43906</v>
      </c>
      <c r="Z22" s="575"/>
      <c r="AA22" s="575"/>
      <c r="AB22" s="577">
        <v>0</v>
      </c>
      <c r="AC22" s="577">
        <v>0</v>
      </c>
      <c r="AD22" s="578"/>
      <c r="AE22" s="578"/>
      <c r="AF22" s="578">
        <v>96</v>
      </c>
      <c r="AG22" s="578">
        <v>310796.16</v>
      </c>
      <c r="AH22" s="578"/>
      <c r="AI22" s="578"/>
      <c r="AJ22" s="579">
        <f>AD22+AF22+AH22</f>
        <v>96</v>
      </c>
      <c r="AK22" s="580">
        <f>AE22+AG22+AI22</f>
        <v>310796.16</v>
      </c>
      <c r="AL22" s="579">
        <f>AB22+AJ22-AT22</f>
        <v>0</v>
      </c>
      <c r="AM22" s="581">
        <f>AC22+AK22-AU22</f>
        <v>0</v>
      </c>
      <c r="AN22" s="582">
        <v>0</v>
      </c>
      <c r="AO22" s="581">
        <v>0</v>
      </c>
      <c r="AP22" s="583">
        <v>96</v>
      </c>
      <c r="AQ22" s="577"/>
      <c r="AR22" s="577">
        <v>3237.46</v>
      </c>
      <c r="AS22" s="581">
        <v>0</v>
      </c>
      <c r="AT22" s="579">
        <f>SUM(AV22:BA22)</f>
        <v>96</v>
      </c>
      <c r="AU22" s="581">
        <f>AR22*AT22</f>
        <v>310796.16000000003</v>
      </c>
      <c r="AV22" s="585">
        <v>96</v>
      </c>
      <c r="AW22" s="565"/>
      <c r="AX22" s="565"/>
      <c r="AY22" s="565"/>
      <c r="AZ22" s="565"/>
      <c r="BA22" s="565"/>
      <c r="BB22" s="78">
        <f t="shared" si="1"/>
        <v>96</v>
      </c>
      <c r="BC22" s="79">
        <f t="shared" si="2"/>
        <v>0</v>
      </c>
    </row>
    <row r="23" spans="2:55" s="228" customFormat="1" ht="15.75">
      <c r="B23" s="584">
        <v>5</v>
      </c>
      <c r="C23" s="36" t="s">
        <v>44</v>
      </c>
      <c r="D23" s="65" t="s">
        <v>41</v>
      </c>
      <c r="E23" s="66" t="s">
        <v>42</v>
      </c>
      <c r="F23" s="30" t="s">
        <v>103</v>
      </c>
      <c r="G23" s="67" t="s">
        <v>43</v>
      </c>
      <c r="H23" s="67" t="s">
        <v>43</v>
      </c>
      <c r="I23" s="541">
        <v>24</v>
      </c>
      <c r="J23" s="541">
        <v>152</v>
      </c>
      <c r="K23" s="542">
        <v>2509.02</v>
      </c>
      <c r="L23" s="543">
        <v>3648</v>
      </c>
      <c r="M23" s="542">
        <v>9152904.96</v>
      </c>
      <c r="N23" s="68"/>
      <c r="O23" s="69"/>
      <c r="P23" s="68"/>
      <c r="Q23" s="69"/>
      <c r="R23" s="68"/>
      <c r="S23" s="69"/>
      <c r="T23" s="64" t="s">
        <v>45</v>
      </c>
      <c r="U23" s="70">
        <v>44682</v>
      </c>
      <c r="V23" s="71">
        <v>1865</v>
      </c>
      <c r="W23" s="72">
        <v>43390</v>
      </c>
      <c r="X23" s="71" t="s">
        <v>46</v>
      </c>
      <c r="Y23" s="73">
        <v>43395</v>
      </c>
      <c r="Z23" s="71"/>
      <c r="AA23" s="73"/>
      <c r="AB23" s="76">
        <v>3</v>
      </c>
      <c r="AC23" s="74">
        <v>8009.88</v>
      </c>
      <c r="AD23" s="75"/>
      <c r="AE23" s="74"/>
      <c r="AF23" s="75"/>
      <c r="AG23" s="74"/>
      <c r="AH23" s="75"/>
      <c r="AI23" s="74"/>
      <c r="AJ23" s="76">
        <f t="shared" si="0"/>
        <v>0</v>
      </c>
      <c r="AK23" s="180">
        <f t="shared" si="0"/>
        <v>0</v>
      </c>
      <c r="AL23" s="76">
        <f aca="true" t="shared" si="4" ref="AL23:AM35">AB23+AJ23-AT23</f>
        <v>3</v>
      </c>
      <c r="AM23" s="74">
        <f>AC23+AK23-AU23</f>
        <v>8009.88</v>
      </c>
      <c r="AN23" s="181">
        <v>0</v>
      </c>
      <c r="AO23" s="74">
        <v>0</v>
      </c>
      <c r="AP23" s="77"/>
      <c r="AQ23" s="76"/>
      <c r="AR23" s="74">
        <v>2669.96</v>
      </c>
      <c r="AS23" s="74">
        <f aca="true" t="shared" si="5" ref="AS23:AS35">AQ23*AR23</f>
        <v>0</v>
      </c>
      <c r="AT23" s="76">
        <f t="shared" si="3"/>
        <v>0</v>
      </c>
      <c r="AU23" s="74">
        <f aca="true" t="shared" si="6" ref="AU23:AU32">AR23*AT23</f>
        <v>0</v>
      </c>
      <c r="AV23" s="76">
        <f>16-12-4</f>
        <v>0</v>
      </c>
      <c r="AW23" s="76">
        <v>0</v>
      </c>
      <c r="AX23" s="76">
        <f>4-1-3</f>
        <v>0</v>
      </c>
      <c r="AY23" s="76"/>
      <c r="AZ23" s="76"/>
      <c r="BA23" s="76"/>
      <c r="BB23" s="78">
        <f t="shared" si="1"/>
        <v>0</v>
      </c>
      <c r="BC23" s="79">
        <f t="shared" si="2"/>
        <v>0</v>
      </c>
    </row>
    <row r="24" spans="2:55" s="229" customFormat="1" ht="15.75">
      <c r="B24" s="431">
        <v>6</v>
      </c>
      <c r="C24" s="80" t="s">
        <v>44</v>
      </c>
      <c r="D24" s="81" t="s">
        <v>68</v>
      </c>
      <c r="E24" s="82" t="s">
        <v>69</v>
      </c>
      <c r="F24" s="432" t="s">
        <v>104</v>
      </c>
      <c r="G24" s="83" t="s">
        <v>47</v>
      </c>
      <c r="H24" s="83" t="s">
        <v>47</v>
      </c>
      <c r="I24" s="544"/>
      <c r="J24" s="544"/>
      <c r="K24" s="545"/>
      <c r="L24" s="546"/>
      <c r="M24" s="545"/>
      <c r="N24" s="84"/>
      <c r="O24" s="87"/>
      <c r="P24" s="84"/>
      <c r="Q24" s="87"/>
      <c r="R24" s="84"/>
      <c r="S24" s="87"/>
      <c r="T24" s="80">
        <v>3093642</v>
      </c>
      <c r="U24" s="88">
        <v>44196</v>
      </c>
      <c r="V24" s="89">
        <v>1024</v>
      </c>
      <c r="W24" s="90">
        <v>43589</v>
      </c>
      <c r="X24" s="89" t="s">
        <v>70</v>
      </c>
      <c r="Y24" s="91">
        <v>43598</v>
      </c>
      <c r="Z24" s="89"/>
      <c r="AA24" s="91"/>
      <c r="AB24" s="92">
        <v>84</v>
      </c>
      <c r="AC24" s="93">
        <v>1632.630000036</v>
      </c>
      <c r="AD24" s="94"/>
      <c r="AE24" s="93"/>
      <c r="AF24" s="92"/>
      <c r="AG24" s="93"/>
      <c r="AH24" s="94"/>
      <c r="AI24" s="93"/>
      <c r="AJ24" s="92">
        <f t="shared" si="0"/>
        <v>0</v>
      </c>
      <c r="AK24" s="182">
        <f aca="true" t="shared" si="7" ref="AK24:AK32">AI24+AG24+AE24</f>
        <v>0</v>
      </c>
      <c r="AL24" s="92">
        <f t="shared" si="4"/>
        <v>84</v>
      </c>
      <c r="AM24" s="93">
        <f t="shared" si="4"/>
        <v>1632.630000036</v>
      </c>
      <c r="AN24" s="183">
        <v>0</v>
      </c>
      <c r="AO24" s="93">
        <v>0</v>
      </c>
      <c r="AP24" s="95"/>
      <c r="AQ24" s="92"/>
      <c r="AR24" s="93">
        <v>19.436071429</v>
      </c>
      <c r="AS24" s="93">
        <f aca="true" t="shared" si="8" ref="AS24:AS29">AR24*AQ24</f>
        <v>0</v>
      </c>
      <c r="AT24" s="92">
        <f t="shared" si="3"/>
        <v>0</v>
      </c>
      <c r="AU24" s="93">
        <f t="shared" si="6"/>
        <v>0</v>
      </c>
      <c r="AV24" s="92">
        <f>2156-1008-1148</f>
        <v>0</v>
      </c>
      <c r="AW24" s="92"/>
      <c r="AX24" s="92">
        <f>1008-168-336-364+1148-252-476-476-84</f>
        <v>0</v>
      </c>
      <c r="AY24" s="92"/>
      <c r="AZ24" s="92"/>
      <c r="BA24" s="92"/>
      <c r="BB24" s="96">
        <f aca="true" t="shared" si="9" ref="BB24:BB38">AB24+AJ24-AL24</f>
        <v>0</v>
      </c>
      <c r="BC24" s="79">
        <f aca="true" t="shared" si="10" ref="BC24:BC38">BB24-AT24</f>
        <v>0</v>
      </c>
    </row>
    <row r="25" spans="2:55" s="469" customFormat="1" ht="15.75">
      <c r="B25" s="409">
        <v>7</v>
      </c>
      <c r="C25" s="410" t="s">
        <v>44</v>
      </c>
      <c r="D25" s="411" t="s">
        <v>83</v>
      </c>
      <c r="E25" s="468" t="s">
        <v>69</v>
      </c>
      <c r="F25" s="412" t="s">
        <v>104</v>
      </c>
      <c r="G25" s="413" t="s">
        <v>47</v>
      </c>
      <c r="H25" s="413" t="s">
        <v>47</v>
      </c>
      <c r="I25" s="547"/>
      <c r="J25" s="547"/>
      <c r="K25" s="548"/>
      <c r="L25" s="549"/>
      <c r="M25" s="548"/>
      <c r="N25" s="414"/>
      <c r="O25" s="417"/>
      <c r="P25" s="414"/>
      <c r="Q25" s="417"/>
      <c r="R25" s="414"/>
      <c r="S25" s="417"/>
      <c r="T25" s="410">
        <v>3100242</v>
      </c>
      <c r="U25" s="418">
        <v>44316</v>
      </c>
      <c r="V25" s="419">
        <v>1569</v>
      </c>
      <c r="W25" s="420">
        <v>43654</v>
      </c>
      <c r="X25" s="419" t="s">
        <v>73</v>
      </c>
      <c r="Y25" s="421">
        <v>43668</v>
      </c>
      <c r="Z25" s="419"/>
      <c r="AA25" s="421"/>
      <c r="AB25" s="422">
        <v>308</v>
      </c>
      <c r="AC25" s="423">
        <v>28643.340000044</v>
      </c>
      <c r="AD25" s="424"/>
      <c r="AE25" s="423"/>
      <c r="AF25" s="422"/>
      <c r="AG25" s="423"/>
      <c r="AH25" s="424"/>
      <c r="AI25" s="423"/>
      <c r="AJ25" s="422">
        <f t="shared" si="0"/>
        <v>0</v>
      </c>
      <c r="AK25" s="425">
        <f t="shared" si="7"/>
        <v>0</v>
      </c>
      <c r="AL25" s="422">
        <f t="shared" si="4"/>
        <v>308</v>
      </c>
      <c r="AM25" s="423">
        <f t="shared" si="4"/>
        <v>28643.340000044</v>
      </c>
      <c r="AN25" s="426">
        <v>0</v>
      </c>
      <c r="AO25" s="423">
        <v>0</v>
      </c>
      <c r="AP25" s="427"/>
      <c r="AQ25" s="422"/>
      <c r="AR25" s="423">
        <v>92.997857143</v>
      </c>
      <c r="AS25" s="423">
        <f t="shared" si="8"/>
        <v>0</v>
      </c>
      <c r="AT25" s="422">
        <f t="shared" si="3"/>
        <v>0</v>
      </c>
      <c r="AU25" s="423">
        <f t="shared" si="6"/>
        <v>0</v>
      </c>
      <c r="AV25" s="422">
        <v>0</v>
      </c>
      <c r="AW25" s="422"/>
      <c r="AX25" s="422">
        <f>308-308</f>
        <v>0</v>
      </c>
      <c r="AY25" s="422"/>
      <c r="AZ25" s="422"/>
      <c r="BA25" s="422"/>
      <c r="BB25" s="429">
        <f t="shared" si="9"/>
        <v>0</v>
      </c>
      <c r="BC25" s="429">
        <f t="shared" si="10"/>
        <v>0</v>
      </c>
    </row>
    <row r="26" spans="2:55" s="469" customFormat="1" ht="15.75">
      <c r="B26" s="409">
        <v>8</v>
      </c>
      <c r="C26" s="410" t="s">
        <v>44</v>
      </c>
      <c r="D26" s="411" t="s">
        <v>83</v>
      </c>
      <c r="E26" s="468" t="s">
        <v>69</v>
      </c>
      <c r="F26" s="412" t="s">
        <v>104</v>
      </c>
      <c r="G26" s="413" t="s">
        <v>47</v>
      </c>
      <c r="H26" s="413" t="s">
        <v>47</v>
      </c>
      <c r="I26" s="547"/>
      <c r="J26" s="547"/>
      <c r="K26" s="548"/>
      <c r="L26" s="549"/>
      <c r="M26" s="548"/>
      <c r="N26" s="414"/>
      <c r="O26" s="417"/>
      <c r="P26" s="414"/>
      <c r="Q26" s="417"/>
      <c r="R26" s="414"/>
      <c r="S26" s="417"/>
      <c r="T26" s="410">
        <v>3100059</v>
      </c>
      <c r="U26" s="418">
        <v>44316</v>
      </c>
      <c r="V26" s="419">
        <v>1613</v>
      </c>
      <c r="W26" s="420">
        <v>43658</v>
      </c>
      <c r="X26" s="419" t="s">
        <v>74</v>
      </c>
      <c r="Y26" s="421">
        <v>43668</v>
      </c>
      <c r="Z26" s="419"/>
      <c r="AA26" s="421"/>
      <c r="AB26" s="422">
        <v>2492</v>
      </c>
      <c r="AC26" s="423">
        <v>237309.59999857598</v>
      </c>
      <c r="AD26" s="424"/>
      <c r="AE26" s="423"/>
      <c r="AF26" s="422"/>
      <c r="AG26" s="423"/>
      <c r="AH26" s="424"/>
      <c r="AI26" s="423"/>
      <c r="AJ26" s="422">
        <f t="shared" si="0"/>
        <v>0</v>
      </c>
      <c r="AK26" s="425">
        <f t="shared" si="7"/>
        <v>0</v>
      </c>
      <c r="AL26" s="422">
        <f t="shared" si="4"/>
        <v>364</v>
      </c>
      <c r="AM26" s="423">
        <f t="shared" si="4"/>
        <v>34663.19999979201</v>
      </c>
      <c r="AN26" s="426">
        <v>2156</v>
      </c>
      <c r="AO26" s="423">
        <v>205312.799998768</v>
      </c>
      <c r="AP26" s="427"/>
      <c r="AQ26" s="422">
        <f>28</f>
        <v>28</v>
      </c>
      <c r="AR26" s="423">
        <v>95.228571428</v>
      </c>
      <c r="AS26" s="423">
        <f t="shared" si="8"/>
        <v>2666.399999984</v>
      </c>
      <c r="AT26" s="422">
        <f t="shared" si="3"/>
        <v>2128</v>
      </c>
      <c r="AU26" s="423">
        <f t="shared" si="6"/>
        <v>202646.39999878398</v>
      </c>
      <c r="AV26" s="422">
        <f>2520-112-756-1652</f>
        <v>0</v>
      </c>
      <c r="AW26" s="422"/>
      <c r="AX26" s="422">
        <f>112+1652-252</f>
        <v>1512</v>
      </c>
      <c r="AY26" s="422"/>
      <c r="AZ26" s="428">
        <f>756-28-56-28-28</f>
        <v>616</v>
      </c>
      <c r="BA26" s="422"/>
      <c r="BB26" s="429">
        <f t="shared" si="9"/>
        <v>2128</v>
      </c>
      <c r="BC26" s="429">
        <f t="shared" si="10"/>
        <v>0</v>
      </c>
    </row>
    <row r="27" spans="2:55" s="469" customFormat="1" ht="15.75">
      <c r="B27" s="409">
        <v>9</v>
      </c>
      <c r="C27" s="410" t="s">
        <v>44</v>
      </c>
      <c r="D27" s="411" t="s">
        <v>83</v>
      </c>
      <c r="E27" s="468" t="s">
        <v>69</v>
      </c>
      <c r="F27" s="412" t="s">
        <v>104</v>
      </c>
      <c r="G27" s="413" t="s">
        <v>47</v>
      </c>
      <c r="H27" s="413" t="s">
        <v>47</v>
      </c>
      <c r="I27" s="547"/>
      <c r="J27" s="547"/>
      <c r="K27" s="548"/>
      <c r="L27" s="549"/>
      <c r="M27" s="548"/>
      <c r="N27" s="414"/>
      <c r="O27" s="417"/>
      <c r="P27" s="414"/>
      <c r="Q27" s="417"/>
      <c r="R27" s="414"/>
      <c r="S27" s="417"/>
      <c r="T27" s="410">
        <v>3100243</v>
      </c>
      <c r="U27" s="418">
        <v>44347</v>
      </c>
      <c r="V27" s="419">
        <v>1990</v>
      </c>
      <c r="W27" s="420">
        <v>43738</v>
      </c>
      <c r="X27" s="419" t="s">
        <v>84</v>
      </c>
      <c r="Y27" s="421">
        <v>43745</v>
      </c>
      <c r="Z27" s="419"/>
      <c r="AA27" s="421"/>
      <c r="AB27" s="422">
        <v>84</v>
      </c>
      <c r="AC27" s="423">
        <v>7811.82</v>
      </c>
      <c r="AD27" s="424"/>
      <c r="AE27" s="423"/>
      <c r="AF27" s="422"/>
      <c r="AG27" s="423"/>
      <c r="AH27" s="424"/>
      <c r="AI27" s="423"/>
      <c r="AJ27" s="422">
        <f t="shared" si="0"/>
        <v>0</v>
      </c>
      <c r="AK27" s="425">
        <f>AI27+AG27+AE27</f>
        <v>0</v>
      </c>
      <c r="AL27" s="422">
        <f t="shared" si="4"/>
        <v>0</v>
      </c>
      <c r="AM27" s="423">
        <f t="shared" si="4"/>
        <v>0</v>
      </c>
      <c r="AN27" s="426">
        <v>84</v>
      </c>
      <c r="AO27" s="423">
        <v>7811.82</v>
      </c>
      <c r="AP27" s="427"/>
      <c r="AQ27" s="422"/>
      <c r="AR27" s="423">
        <v>92.99785714285714</v>
      </c>
      <c r="AS27" s="423">
        <f t="shared" si="8"/>
        <v>0</v>
      </c>
      <c r="AT27" s="422">
        <f t="shared" si="3"/>
        <v>84</v>
      </c>
      <c r="AU27" s="423">
        <f t="shared" si="6"/>
        <v>7811.82</v>
      </c>
      <c r="AV27" s="422">
        <f>84-84</f>
        <v>0</v>
      </c>
      <c r="AW27" s="422"/>
      <c r="AX27" s="422">
        <v>84</v>
      </c>
      <c r="AY27" s="422"/>
      <c r="AZ27" s="422"/>
      <c r="BA27" s="422"/>
      <c r="BB27" s="429">
        <f>AB27+AJ27-AL27</f>
        <v>84</v>
      </c>
      <c r="BC27" s="429">
        <f>BB27-AT27</f>
        <v>0</v>
      </c>
    </row>
    <row r="28" spans="2:55" s="469" customFormat="1" ht="15.75">
      <c r="B28" s="409">
        <v>10</v>
      </c>
      <c r="C28" s="410" t="s">
        <v>44</v>
      </c>
      <c r="D28" s="411" t="s">
        <v>83</v>
      </c>
      <c r="E28" s="468" t="s">
        <v>69</v>
      </c>
      <c r="F28" s="412" t="s">
        <v>104</v>
      </c>
      <c r="G28" s="413" t="s">
        <v>47</v>
      </c>
      <c r="H28" s="413" t="s">
        <v>47</v>
      </c>
      <c r="I28" s="547"/>
      <c r="J28" s="547"/>
      <c r="K28" s="548"/>
      <c r="L28" s="549"/>
      <c r="M28" s="548"/>
      <c r="N28" s="414"/>
      <c r="O28" s="417"/>
      <c r="P28" s="414"/>
      <c r="Q28" s="417"/>
      <c r="R28" s="414"/>
      <c r="S28" s="417"/>
      <c r="T28" s="410">
        <v>3105977</v>
      </c>
      <c r="U28" s="418">
        <v>44439</v>
      </c>
      <c r="V28" s="419">
        <v>79</v>
      </c>
      <c r="W28" s="420">
        <v>43845</v>
      </c>
      <c r="X28" s="419" t="s">
        <v>96</v>
      </c>
      <c r="Y28" s="421">
        <v>43857</v>
      </c>
      <c r="Z28" s="419"/>
      <c r="AA28" s="421"/>
      <c r="AB28" s="422">
        <v>0</v>
      </c>
      <c r="AC28" s="423">
        <v>0</v>
      </c>
      <c r="AD28" s="424">
        <v>28</v>
      </c>
      <c r="AE28" s="423">
        <v>2603.94</v>
      </c>
      <c r="AF28" s="422"/>
      <c r="AG28" s="423"/>
      <c r="AH28" s="424"/>
      <c r="AI28" s="423"/>
      <c r="AJ28" s="422">
        <f t="shared" si="0"/>
        <v>28</v>
      </c>
      <c r="AK28" s="425">
        <f>AI28+AG28+AE28</f>
        <v>2603.94</v>
      </c>
      <c r="AL28" s="422">
        <f t="shared" si="4"/>
        <v>0</v>
      </c>
      <c r="AM28" s="423">
        <f t="shared" si="4"/>
        <v>-3.999957698397338E-09</v>
      </c>
      <c r="AN28" s="426">
        <v>28</v>
      </c>
      <c r="AO28" s="423">
        <v>2603.940000004</v>
      </c>
      <c r="AP28" s="427"/>
      <c r="AQ28" s="422"/>
      <c r="AR28" s="423">
        <v>92.997857143</v>
      </c>
      <c r="AS28" s="423">
        <f t="shared" si="8"/>
        <v>0</v>
      </c>
      <c r="AT28" s="422">
        <f t="shared" si="3"/>
        <v>28</v>
      </c>
      <c r="AU28" s="423">
        <f>AR28*AT28</f>
        <v>2603.940000004</v>
      </c>
      <c r="AV28" s="422">
        <f>28-28</f>
        <v>0</v>
      </c>
      <c r="AW28" s="422"/>
      <c r="AX28" s="422">
        <f>28</f>
        <v>28</v>
      </c>
      <c r="AY28" s="422"/>
      <c r="AZ28" s="422"/>
      <c r="BA28" s="422"/>
      <c r="BB28" s="429">
        <f>AB28+AJ28-AL28</f>
        <v>28</v>
      </c>
      <c r="BC28" s="429">
        <f>BB28-AT28</f>
        <v>0</v>
      </c>
    </row>
    <row r="29" spans="2:55" s="430" customFormat="1" ht="15.75">
      <c r="B29" s="409">
        <v>11</v>
      </c>
      <c r="C29" s="410" t="s">
        <v>44</v>
      </c>
      <c r="D29" s="411" t="s">
        <v>83</v>
      </c>
      <c r="E29" s="412" t="s">
        <v>101</v>
      </c>
      <c r="F29" s="412" t="s">
        <v>104</v>
      </c>
      <c r="G29" s="413" t="s">
        <v>47</v>
      </c>
      <c r="H29" s="413" t="s">
        <v>47</v>
      </c>
      <c r="I29" s="547"/>
      <c r="J29" s="547"/>
      <c r="K29" s="548"/>
      <c r="L29" s="549"/>
      <c r="M29" s="548"/>
      <c r="N29" s="414"/>
      <c r="O29" s="417"/>
      <c r="P29" s="414"/>
      <c r="Q29" s="417"/>
      <c r="R29" s="414"/>
      <c r="S29" s="417"/>
      <c r="T29" s="410">
        <v>3105977</v>
      </c>
      <c r="U29" s="418">
        <v>44439</v>
      </c>
      <c r="V29" s="419">
        <v>280</v>
      </c>
      <c r="W29" s="420">
        <v>43868</v>
      </c>
      <c r="X29" s="419" t="s">
        <v>107</v>
      </c>
      <c r="Y29" s="421">
        <v>43878</v>
      </c>
      <c r="Z29" s="419"/>
      <c r="AA29" s="421"/>
      <c r="AB29" s="422">
        <v>0</v>
      </c>
      <c r="AC29" s="423">
        <v>0</v>
      </c>
      <c r="AD29" s="424"/>
      <c r="AE29" s="423"/>
      <c r="AF29" s="422">
        <v>1680</v>
      </c>
      <c r="AG29" s="423">
        <v>136944</v>
      </c>
      <c r="AH29" s="424"/>
      <c r="AI29" s="423"/>
      <c r="AJ29" s="422">
        <f t="shared" si="0"/>
        <v>1680</v>
      </c>
      <c r="AK29" s="425">
        <f>AI29+AG29+AE29</f>
        <v>136944</v>
      </c>
      <c r="AL29" s="422">
        <f>AB29+AJ29-AT29</f>
        <v>0</v>
      </c>
      <c r="AM29" s="423">
        <f>AC29+AK29-AU29</f>
        <v>0.0009648000122979283</v>
      </c>
      <c r="AN29" s="426">
        <v>1680</v>
      </c>
      <c r="AO29" s="423">
        <v>136943.9990352</v>
      </c>
      <c r="AP29" s="427"/>
      <c r="AQ29" s="422"/>
      <c r="AR29" s="423">
        <v>81.51428514</v>
      </c>
      <c r="AS29" s="423">
        <f t="shared" si="8"/>
        <v>0</v>
      </c>
      <c r="AT29" s="422">
        <f>SUM(AV29:BA29)</f>
        <v>1680</v>
      </c>
      <c r="AU29" s="423">
        <f>AR29*AT29</f>
        <v>136943.9990352</v>
      </c>
      <c r="AV29" s="428">
        <v>1680</v>
      </c>
      <c r="AW29" s="422"/>
      <c r="AX29" s="428"/>
      <c r="AY29" s="422"/>
      <c r="AZ29" s="428"/>
      <c r="BA29" s="422"/>
      <c r="BB29" s="429">
        <f>AB29+AJ29-AL29</f>
        <v>1680</v>
      </c>
      <c r="BC29" s="429">
        <f>BB29-AT29</f>
        <v>0</v>
      </c>
    </row>
    <row r="30" spans="2:55" s="230" customFormat="1" ht="15.75">
      <c r="B30" s="434">
        <v>12</v>
      </c>
      <c r="C30" s="98" t="s">
        <v>44</v>
      </c>
      <c r="D30" s="435" t="s">
        <v>48</v>
      </c>
      <c r="E30" s="436" t="s">
        <v>49</v>
      </c>
      <c r="F30" s="467" t="s">
        <v>105</v>
      </c>
      <c r="G30" s="99" t="s">
        <v>47</v>
      </c>
      <c r="H30" s="99" t="s">
        <v>47</v>
      </c>
      <c r="I30" s="550">
        <v>336</v>
      </c>
      <c r="J30" s="550">
        <v>152</v>
      </c>
      <c r="K30" s="551">
        <v>3.35</v>
      </c>
      <c r="L30" s="552">
        <v>51072</v>
      </c>
      <c r="M30" s="551">
        <f>K30*L30</f>
        <v>171091.2</v>
      </c>
      <c r="N30" s="100"/>
      <c r="O30" s="103"/>
      <c r="P30" s="100"/>
      <c r="Q30" s="103"/>
      <c r="R30" s="100"/>
      <c r="S30" s="103"/>
      <c r="T30" s="98">
        <v>19027411</v>
      </c>
      <c r="U30" s="104">
        <v>44347</v>
      </c>
      <c r="V30" s="105">
        <v>1786</v>
      </c>
      <c r="W30" s="106">
        <v>43690</v>
      </c>
      <c r="X30" s="105" t="s">
        <v>78</v>
      </c>
      <c r="Y30" s="107">
        <v>43696</v>
      </c>
      <c r="Z30" s="105" t="s">
        <v>79</v>
      </c>
      <c r="AA30" s="107">
        <v>43693</v>
      </c>
      <c r="AB30" s="108">
        <v>41400</v>
      </c>
      <c r="AC30" s="109">
        <v>118031.4</v>
      </c>
      <c r="AD30" s="110"/>
      <c r="AE30" s="109"/>
      <c r="AF30" s="110"/>
      <c r="AG30" s="109"/>
      <c r="AH30" s="110"/>
      <c r="AI30" s="109"/>
      <c r="AJ30" s="108">
        <f t="shared" si="0"/>
        <v>0</v>
      </c>
      <c r="AK30" s="182">
        <f t="shared" si="7"/>
        <v>0</v>
      </c>
      <c r="AL30" s="108">
        <f t="shared" si="4"/>
        <v>900</v>
      </c>
      <c r="AM30" s="109">
        <f t="shared" si="4"/>
        <v>2565.899999999994</v>
      </c>
      <c r="AN30" s="184">
        <v>40500</v>
      </c>
      <c r="AO30" s="123">
        <v>115465.5</v>
      </c>
      <c r="AP30" s="111"/>
      <c r="AQ30" s="108"/>
      <c r="AR30" s="109">
        <v>2.851</v>
      </c>
      <c r="AS30" s="109">
        <f t="shared" si="5"/>
        <v>0</v>
      </c>
      <c r="AT30" s="108">
        <f t="shared" si="3"/>
        <v>40500</v>
      </c>
      <c r="AU30" s="109">
        <f t="shared" si="6"/>
        <v>115465.5</v>
      </c>
      <c r="AV30" s="108">
        <f>41880-41880</f>
        <v>0</v>
      </c>
      <c r="AW30" s="108"/>
      <c r="AX30" s="108">
        <f>41880-30-450-900</f>
        <v>40500</v>
      </c>
      <c r="AY30" s="108"/>
      <c r="AZ30" s="108"/>
      <c r="BA30" s="108"/>
      <c r="BB30" s="429">
        <f>AB30+AJ30-AL30</f>
        <v>40500</v>
      </c>
      <c r="BC30" s="429">
        <f>BB30-AT30</f>
        <v>0</v>
      </c>
    </row>
    <row r="31" spans="2:55" s="231" customFormat="1" ht="15.75">
      <c r="B31" s="441">
        <v>13</v>
      </c>
      <c r="C31" s="112" t="s">
        <v>44</v>
      </c>
      <c r="D31" s="113" t="s">
        <v>50</v>
      </c>
      <c r="E31" s="114" t="s">
        <v>39</v>
      </c>
      <c r="F31" s="466" t="s">
        <v>106</v>
      </c>
      <c r="G31" s="115" t="s">
        <v>47</v>
      </c>
      <c r="H31" s="115" t="s">
        <v>47</v>
      </c>
      <c r="I31" s="553">
        <v>504</v>
      </c>
      <c r="J31" s="553">
        <v>895</v>
      </c>
      <c r="K31" s="554"/>
      <c r="L31" s="555">
        <v>451080</v>
      </c>
      <c r="M31" s="554">
        <f>K31*L31</f>
        <v>0</v>
      </c>
      <c r="N31" s="116"/>
      <c r="O31" s="117"/>
      <c r="P31" s="116"/>
      <c r="Q31" s="117"/>
      <c r="R31" s="116"/>
      <c r="S31" s="117"/>
      <c r="T31" s="112" t="s">
        <v>51</v>
      </c>
      <c r="U31" s="118">
        <v>44105</v>
      </c>
      <c r="V31" s="119">
        <v>1274</v>
      </c>
      <c r="W31" s="120">
        <v>43287</v>
      </c>
      <c r="X31" s="119" t="s">
        <v>52</v>
      </c>
      <c r="Y31" s="121">
        <v>43304</v>
      </c>
      <c r="Z31" s="119" t="s">
        <v>53</v>
      </c>
      <c r="AA31" s="121">
        <v>43315</v>
      </c>
      <c r="AB31" s="122">
        <v>4066</v>
      </c>
      <c r="AC31" s="123">
        <v>34980.669286876</v>
      </c>
      <c r="AD31" s="124"/>
      <c r="AE31" s="123"/>
      <c r="AF31" s="124"/>
      <c r="AG31" s="123"/>
      <c r="AH31" s="124"/>
      <c r="AI31" s="123"/>
      <c r="AJ31" s="122">
        <f t="shared" si="0"/>
        <v>0</v>
      </c>
      <c r="AK31" s="182">
        <f t="shared" si="7"/>
        <v>0</v>
      </c>
      <c r="AL31" s="122">
        <f t="shared" si="4"/>
        <v>2922</v>
      </c>
      <c r="AM31" s="123">
        <f t="shared" si="4"/>
        <v>25138.592143692</v>
      </c>
      <c r="AN31" s="185">
        <v>1480</v>
      </c>
      <c r="AO31" s="123">
        <v>12732.75714328</v>
      </c>
      <c r="AP31" s="125"/>
      <c r="AQ31" s="122">
        <f>336</f>
        <v>336</v>
      </c>
      <c r="AR31" s="123">
        <v>8.603214286</v>
      </c>
      <c r="AS31" s="123">
        <f t="shared" si="5"/>
        <v>2890.680000096</v>
      </c>
      <c r="AT31" s="122">
        <f>SUM(AV31:BA31)</f>
        <v>1144</v>
      </c>
      <c r="AU31" s="123">
        <f>AR31*AT31</f>
        <v>9842.077143184</v>
      </c>
      <c r="AV31" s="122">
        <f>20664-5576-2520-6048-4032-504-1984</f>
        <v>0</v>
      </c>
      <c r="AW31" s="122"/>
      <c r="AX31" s="122">
        <f>5576+6048-1848-2682+4032-1820-3052-4508-1746</f>
        <v>0</v>
      </c>
      <c r="AY31" s="122"/>
      <c r="AZ31" s="513">
        <f>2520-1512-504+1984-168-336-504-336</f>
        <v>1144</v>
      </c>
      <c r="BA31" s="122"/>
      <c r="BB31" s="97">
        <f t="shared" si="9"/>
        <v>1144</v>
      </c>
      <c r="BC31" s="79">
        <f t="shared" si="10"/>
        <v>0</v>
      </c>
    </row>
    <row r="32" spans="2:55" s="231" customFormat="1" ht="15.75">
      <c r="B32" s="441">
        <v>14</v>
      </c>
      <c r="C32" s="112" t="s">
        <v>44</v>
      </c>
      <c r="D32" s="113" t="s">
        <v>50</v>
      </c>
      <c r="E32" s="114" t="s">
        <v>39</v>
      </c>
      <c r="F32" s="466" t="s">
        <v>106</v>
      </c>
      <c r="G32" s="115" t="s">
        <v>47</v>
      </c>
      <c r="H32" s="115" t="s">
        <v>47</v>
      </c>
      <c r="I32" s="553"/>
      <c r="J32" s="553"/>
      <c r="K32" s="554"/>
      <c r="L32" s="555"/>
      <c r="M32" s="554"/>
      <c r="N32" s="116"/>
      <c r="O32" s="117"/>
      <c r="P32" s="116"/>
      <c r="Q32" s="117"/>
      <c r="R32" s="116"/>
      <c r="S32" s="117"/>
      <c r="T32" s="112" t="s">
        <v>54</v>
      </c>
      <c r="U32" s="118">
        <v>44105</v>
      </c>
      <c r="V32" s="119">
        <v>1390</v>
      </c>
      <c r="W32" s="120">
        <v>43307</v>
      </c>
      <c r="X32" s="119" t="s">
        <v>55</v>
      </c>
      <c r="Y32" s="127">
        <v>43325</v>
      </c>
      <c r="Z32" s="128" t="s">
        <v>56</v>
      </c>
      <c r="AA32" s="127">
        <v>43321</v>
      </c>
      <c r="AB32" s="122">
        <v>20496</v>
      </c>
      <c r="AC32" s="123">
        <v>176331.480005856</v>
      </c>
      <c r="AD32" s="124"/>
      <c r="AE32" s="123"/>
      <c r="AF32" s="124"/>
      <c r="AG32" s="123"/>
      <c r="AH32" s="124"/>
      <c r="AI32" s="123"/>
      <c r="AJ32" s="122">
        <f t="shared" si="0"/>
        <v>0</v>
      </c>
      <c r="AK32" s="182">
        <f t="shared" si="7"/>
        <v>0</v>
      </c>
      <c r="AL32" s="122">
        <f t="shared" si="4"/>
        <v>3266</v>
      </c>
      <c r="AM32" s="123">
        <f t="shared" si="4"/>
        <v>28098.097858075984</v>
      </c>
      <c r="AN32" s="185">
        <v>17230</v>
      </c>
      <c r="AO32" s="123">
        <v>148233.38214778</v>
      </c>
      <c r="AP32" s="125"/>
      <c r="AQ32" s="122"/>
      <c r="AR32" s="123">
        <v>8.603214286</v>
      </c>
      <c r="AS32" s="123">
        <f t="shared" si="5"/>
        <v>0</v>
      </c>
      <c r="AT32" s="122">
        <f t="shared" si="3"/>
        <v>17230</v>
      </c>
      <c r="AU32" s="123">
        <f t="shared" si="6"/>
        <v>148233.38214778</v>
      </c>
      <c r="AV32" s="122">
        <f>20496-8064-2552-9880</f>
        <v>0</v>
      </c>
      <c r="AW32" s="122"/>
      <c r="AX32" s="122">
        <f>8064-3266+9880</f>
        <v>14678</v>
      </c>
      <c r="AY32" s="122"/>
      <c r="AZ32" s="513">
        <v>2552</v>
      </c>
      <c r="BA32" s="122"/>
      <c r="BB32" s="126">
        <f t="shared" si="9"/>
        <v>17230</v>
      </c>
      <c r="BC32" s="79">
        <f t="shared" si="10"/>
        <v>0</v>
      </c>
    </row>
    <row r="33" spans="2:55" ht="15.75" hidden="1">
      <c r="B33" s="147">
        <v>12</v>
      </c>
      <c r="C33" s="5"/>
      <c r="D33" s="6"/>
      <c r="E33" s="30" t="s">
        <v>57</v>
      </c>
      <c r="F33" s="30"/>
      <c r="G33" s="31" t="s">
        <v>47</v>
      </c>
      <c r="H33" s="31" t="s">
        <v>47</v>
      </c>
      <c r="I33" s="32">
        <v>84</v>
      </c>
      <c r="J33" s="32">
        <v>895</v>
      </c>
      <c r="K33" s="33">
        <v>249.07</v>
      </c>
      <c r="L33" s="34">
        <f>I33*J33</f>
        <v>75180</v>
      </c>
      <c r="M33" s="556">
        <f>K33*L33</f>
        <v>18725082.599999998</v>
      </c>
      <c r="N33" s="32"/>
      <c r="O33" s="35"/>
      <c r="P33" s="32"/>
      <c r="Q33" s="35"/>
      <c r="R33" s="32"/>
      <c r="S33" s="35"/>
      <c r="T33" s="36"/>
      <c r="U33" s="36"/>
      <c r="V33" s="7"/>
      <c r="W33" s="8"/>
      <c r="X33" s="48"/>
      <c r="Y33" s="49"/>
      <c r="Z33" s="49"/>
      <c r="AA33" s="49"/>
      <c r="AB33" s="516">
        <v>0</v>
      </c>
      <c r="AC33" s="9">
        <v>0</v>
      </c>
      <c r="AD33" s="51"/>
      <c r="AE33" s="52"/>
      <c r="AF33" s="51"/>
      <c r="AG33" s="52"/>
      <c r="AH33" s="51"/>
      <c r="AI33" s="52"/>
      <c r="AJ33" s="3">
        <f t="shared" si="0"/>
        <v>0</v>
      </c>
      <c r="AK33" s="186">
        <f>AJ33*AR33</f>
        <v>0</v>
      </c>
      <c r="AL33" s="3">
        <f t="shared" si="4"/>
        <v>8000</v>
      </c>
      <c r="AM33" s="9">
        <f t="shared" si="4"/>
        <v>17452.58</v>
      </c>
      <c r="AN33" s="187">
        <v>0</v>
      </c>
      <c r="AO33" s="52">
        <v>0</v>
      </c>
      <c r="AP33" s="56"/>
      <c r="AQ33" s="53">
        <f>AN33-AT33</f>
        <v>0</v>
      </c>
      <c r="AR33" s="52"/>
      <c r="AS33" s="52">
        <f t="shared" si="5"/>
        <v>0</v>
      </c>
      <c r="AT33" s="3">
        <f>AN33+AP33-AQ33</f>
        <v>0</v>
      </c>
      <c r="AU33" s="9">
        <f>AT33*AR33</f>
        <v>0</v>
      </c>
      <c r="AV33" s="3">
        <v>0</v>
      </c>
      <c r="AW33" s="3"/>
      <c r="AX33" s="3"/>
      <c r="AY33" s="3"/>
      <c r="AZ33" s="3"/>
      <c r="BA33" s="3"/>
      <c r="BB33" s="10">
        <f t="shared" si="9"/>
        <v>0</v>
      </c>
      <c r="BC33" s="79">
        <f t="shared" si="10"/>
        <v>0</v>
      </c>
    </row>
    <row r="34" spans="2:55" ht="15.75" hidden="1">
      <c r="B34" s="130">
        <v>13</v>
      </c>
      <c r="C34" s="5"/>
      <c r="D34" s="6"/>
      <c r="E34" s="30" t="s">
        <v>58</v>
      </c>
      <c r="F34" s="30"/>
      <c r="G34" s="31" t="s">
        <v>47</v>
      </c>
      <c r="H34" s="31" t="s">
        <v>47</v>
      </c>
      <c r="I34" s="32"/>
      <c r="J34" s="32"/>
      <c r="K34" s="33">
        <v>35.36</v>
      </c>
      <c r="L34" s="34">
        <f>I34*J34</f>
        <v>0</v>
      </c>
      <c r="M34" s="556">
        <f>K34*L34</f>
        <v>0</v>
      </c>
      <c r="N34" s="32"/>
      <c r="O34" s="35"/>
      <c r="P34" s="32"/>
      <c r="Q34" s="35"/>
      <c r="R34" s="32"/>
      <c r="S34" s="35"/>
      <c r="T34" s="36"/>
      <c r="U34" s="36"/>
      <c r="V34" s="7"/>
      <c r="W34" s="8"/>
      <c r="X34" s="48"/>
      <c r="Y34" s="49"/>
      <c r="Z34" s="49"/>
      <c r="AA34" s="49"/>
      <c r="AB34" s="516">
        <v>0</v>
      </c>
      <c r="AC34" s="9">
        <v>0</v>
      </c>
      <c r="AD34" s="51"/>
      <c r="AE34" s="52"/>
      <c r="AF34" s="51"/>
      <c r="AG34" s="52"/>
      <c r="AH34" s="51"/>
      <c r="AI34" s="52"/>
      <c r="AJ34" s="3">
        <f t="shared" si="0"/>
        <v>0</v>
      </c>
      <c r="AK34" s="186">
        <f>AJ34*AR34</f>
        <v>0</v>
      </c>
      <c r="AL34" s="3">
        <f t="shared" si="4"/>
        <v>8000</v>
      </c>
      <c r="AM34" s="9">
        <f t="shared" si="4"/>
        <v>17452.58</v>
      </c>
      <c r="AN34" s="187">
        <v>0</v>
      </c>
      <c r="AO34" s="52">
        <v>0</v>
      </c>
      <c r="AP34" s="56"/>
      <c r="AQ34" s="53">
        <f>AN34-AT34</f>
        <v>0</v>
      </c>
      <c r="AR34" s="52"/>
      <c r="AS34" s="52">
        <f t="shared" si="5"/>
        <v>0</v>
      </c>
      <c r="AT34" s="3">
        <f>AN34+AP34-AQ34</f>
        <v>0</v>
      </c>
      <c r="AU34" s="9">
        <f>AT34*AR34</f>
        <v>0</v>
      </c>
      <c r="AV34" s="3">
        <v>0</v>
      </c>
      <c r="AW34" s="3"/>
      <c r="AX34" s="3"/>
      <c r="AY34" s="3"/>
      <c r="AZ34" s="3"/>
      <c r="BA34" s="3"/>
      <c r="BB34" s="10">
        <f t="shared" si="9"/>
        <v>0</v>
      </c>
      <c r="BC34" s="79">
        <f t="shared" si="10"/>
        <v>0</v>
      </c>
    </row>
    <row r="35" spans="2:55" ht="15.75" hidden="1">
      <c r="B35" s="130">
        <v>14</v>
      </c>
      <c r="C35" s="5"/>
      <c r="D35" s="6" t="s">
        <v>59</v>
      </c>
      <c r="E35" s="30" t="s">
        <v>60</v>
      </c>
      <c r="F35" s="30"/>
      <c r="G35" s="31" t="s">
        <v>47</v>
      </c>
      <c r="H35" s="31" t="s">
        <v>47</v>
      </c>
      <c r="I35" s="32"/>
      <c r="J35" s="32"/>
      <c r="K35" s="33">
        <v>35.36</v>
      </c>
      <c r="L35" s="34">
        <f>I35*J35</f>
        <v>0</v>
      </c>
      <c r="M35" s="556">
        <f>K35*L35</f>
        <v>0</v>
      </c>
      <c r="N35" s="32"/>
      <c r="O35" s="35"/>
      <c r="P35" s="32"/>
      <c r="Q35" s="35"/>
      <c r="R35" s="32"/>
      <c r="S35" s="35"/>
      <c r="T35" s="36"/>
      <c r="U35" s="36"/>
      <c r="V35" s="7"/>
      <c r="W35" s="8"/>
      <c r="X35" s="48"/>
      <c r="Y35" s="49"/>
      <c r="Z35" s="49"/>
      <c r="AA35" s="49"/>
      <c r="AB35" s="516">
        <v>0</v>
      </c>
      <c r="AC35" s="9">
        <v>0</v>
      </c>
      <c r="AD35" s="51"/>
      <c r="AE35" s="52"/>
      <c r="AF35" s="51"/>
      <c r="AG35" s="52"/>
      <c r="AH35" s="51"/>
      <c r="AI35" s="52"/>
      <c r="AJ35" s="3">
        <f>AD35+AF35+AH35</f>
        <v>0</v>
      </c>
      <c r="AK35" s="186">
        <f>AJ35*AR35</f>
        <v>0</v>
      </c>
      <c r="AL35" s="3">
        <f t="shared" si="4"/>
        <v>8000</v>
      </c>
      <c r="AM35" s="9">
        <f t="shared" si="4"/>
        <v>17452.58</v>
      </c>
      <c r="AN35" s="187">
        <v>0</v>
      </c>
      <c r="AO35" s="52">
        <v>0</v>
      </c>
      <c r="AP35" s="56"/>
      <c r="AQ35" s="53">
        <f>AN35-AT35</f>
        <v>0</v>
      </c>
      <c r="AR35" s="52"/>
      <c r="AS35" s="52">
        <f t="shared" si="5"/>
        <v>0</v>
      </c>
      <c r="AT35" s="3">
        <f>AN35+AP35-AQ35</f>
        <v>0</v>
      </c>
      <c r="AU35" s="9">
        <f>AT35*AR35</f>
        <v>0</v>
      </c>
      <c r="AV35" s="3">
        <v>0</v>
      </c>
      <c r="AW35" s="3"/>
      <c r="AX35" s="3"/>
      <c r="AY35" s="3"/>
      <c r="AZ35" s="3"/>
      <c r="BA35" s="3"/>
      <c r="BB35" s="10">
        <f t="shared" si="9"/>
        <v>0</v>
      </c>
      <c r="BC35" s="79">
        <f t="shared" si="10"/>
        <v>0</v>
      </c>
    </row>
    <row r="36" spans="2:55" s="232" customFormat="1" ht="15.75">
      <c r="B36" s="147"/>
      <c r="C36" s="610" t="s">
        <v>61</v>
      </c>
      <c r="D36" s="610"/>
      <c r="E36" s="610"/>
      <c r="F36" s="610"/>
      <c r="G36" s="610"/>
      <c r="H36" s="610"/>
      <c r="I36" s="150"/>
      <c r="J36" s="150"/>
      <c r="K36" s="151"/>
      <c r="L36" s="151"/>
      <c r="M36" s="151">
        <f>SUM(M17:M32)</f>
        <v>44995095.96</v>
      </c>
      <c r="N36" s="151">
        <f aca="true" t="shared" si="11" ref="N36:S36">SUM(N19:O32)</f>
        <v>0</v>
      </c>
      <c r="O36" s="151">
        <f t="shared" si="11"/>
        <v>0</v>
      </c>
      <c r="P36" s="151">
        <f t="shared" si="11"/>
        <v>0</v>
      </c>
      <c r="Q36" s="151">
        <f t="shared" si="11"/>
        <v>0</v>
      </c>
      <c r="R36" s="151">
        <f t="shared" si="11"/>
        <v>0</v>
      </c>
      <c r="S36" s="151">
        <f t="shared" si="11"/>
        <v>43838391</v>
      </c>
      <c r="T36" s="152"/>
      <c r="U36" s="152"/>
      <c r="V36" s="153"/>
      <c r="W36" s="153"/>
      <c r="X36" s="152"/>
      <c r="Y36" s="152"/>
      <c r="Z36" s="152"/>
      <c r="AA36" s="152"/>
      <c r="AB36" s="154">
        <f>SUM(AB17:AB35)</f>
        <v>69997</v>
      </c>
      <c r="AC36" s="154">
        <f aca="true" t="shared" si="12" ref="AC36:AK36">SUM(AC17:AC35)</f>
        <v>646430.599290932</v>
      </c>
      <c r="AD36" s="154">
        <f t="shared" si="12"/>
        <v>616</v>
      </c>
      <c r="AE36" s="154">
        <f t="shared" si="12"/>
        <v>21451.23</v>
      </c>
      <c r="AF36" s="154">
        <f t="shared" si="12"/>
        <v>6816</v>
      </c>
      <c r="AG36" s="154">
        <f t="shared" si="12"/>
        <v>1495240.26</v>
      </c>
      <c r="AH36" s="154">
        <f t="shared" si="12"/>
        <v>0</v>
      </c>
      <c r="AI36" s="154">
        <f t="shared" si="12"/>
        <v>0</v>
      </c>
      <c r="AJ36" s="154">
        <f t="shared" si="12"/>
        <v>7432</v>
      </c>
      <c r="AK36" s="154">
        <f t="shared" si="12"/>
        <v>1516691.4899999998</v>
      </c>
      <c r="AL36" s="154">
        <f>SUM(AL17:AL32)</f>
        <v>8435</v>
      </c>
      <c r="AM36" s="154">
        <f>SUM(AM17:AM32)</f>
        <v>1209931.52096598</v>
      </c>
      <c r="AN36" s="154">
        <f>SUM(AN17:AN32)</f>
        <v>69262</v>
      </c>
      <c r="AO36" s="154">
        <f>SUM(AO17:AO32)</f>
        <v>1710518.8583246355</v>
      </c>
      <c r="AP36" s="154">
        <f>SUM(AP17:AP32)</f>
        <v>96</v>
      </c>
      <c r="AQ36" s="154">
        <f>SUM(AQ17:AQ35)</f>
        <v>0</v>
      </c>
      <c r="AR36" s="155" t="s">
        <v>40</v>
      </c>
      <c r="AS36" s="155">
        <f>SUM(AS17:AS32)</f>
        <v>5557.08000008</v>
      </c>
      <c r="AT36" s="155">
        <f aca="true" t="shared" si="13" ref="AT36:BA36">SUM(AT17:AT32)</f>
        <v>68994</v>
      </c>
      <c r="AU36" s="155">
        <f t="shared" si="13"/>
        <v>2015757.938324556</v>
      </c>
      <c r="AV36" s="155">
        <f>SUM(AV17:AV32)</f>
        <v>6816</v>
      </c>
      <c r="AW36" s="155">
        <f t="shared" si="13"/>
        <v>0</v>
      </c>
      <c r="AX36" s="155">
        <f t="shared" si="13"/>
        <v>57866</v>
      </c>
      <c r="AY36" s="155">
        <f t="shared" si="13"/>
        <v>0</v>
      </c>
      <c r="AZ36" s="155">
        <f t="shared" si="13"/>
        <v>4312</v>
      </c>
      <c r="BA36" s="155">
        <f t="shared" si="13"/>
        <v>0</v>
      </c>
      <c r="BB36" s="156">
        <f t="shared" si="9"/>
        <v>68994</v>
      </c>
      <c r="BC36" s="157">
        <f t="shared" si="10"/>
        <v>0</v>
      </c>
    </row>
    <row r="37" spans="48:55" ht="15.75">
      <c r="AV37" s="1"/>
      <c r="BB37" s="10">
        <f t="shared" si="9"/>
        <v>0</v>
      </c>
      <c r="BC37" s="79">
        <f t="shared" si="10"/>
        <v>0</v>
      </c>
    </row>
    <row r="38" spans="3:55" ht="18.75" hidden="1">
      <c r="C38" s="21"/>
      <c r="D38" s="22"/>
      <c r="E38" s="40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42"/>
      <c r="V38" s="22"/>
      <c r="W38" s="22"/>
      <c r="X38" s="40"/>
      <c r="Y38" s="40"/>
      <c r="Z38" s="40"/>
      <c r="AA38" s="40"/>
      <c r="AB38" s="23">
        <v>25627</v>
      </c>
      <c r="AC38" s="24">
        <v>429721.02999999997</v>
      </c>
      <c r="AD38" s="46">
        <v>2489</v>
      </c>
      <c r="AE38" s="46">
        <v>238467.40999999997</v>
      </c>
      <c r="AF38" s="46">
        <v>43857</v>
      </c>
      <c r="AG38" s="46">
        <v>1030797.06</v>
      </c>
      <c r="AH38" s="46">
        <v>0</v>
      </c>
      <c r="AI38" s="46">
        <v>0</v>
      </c>
      <c r="AJ38" s="25">
        <v>46346</v>
      </c>
      <c r="AK38" s="190">
        <v>1269264.4699921182</v>
      </c>
      <c r="AL38" s="23">
        <v>5305</v>
      </c>
      <c r="AM38" s="24">
        <v>209811.62</v>
      </c>
      <c r="AN38" s="191">
        <v>66668</v>
      </c>
      <c r="AO38" s="59">
        <v>1489173.879992118</v>
      </c>
      <c r="AP38" s="60">
        <v>0</v>
      </c>
      <c r="AQ38" s="61">
        <v>0</v>
      </c>
      <c r="AR38" s="29" t="s">
        <v>40</v>
      </c>
      <c r="AS38" s="29">
        <v>0</v>
      </c>
      <c r="AT38" s="26">
        <v>66668</v>
      </c>
      <c r="AU38" s="27">
        <v>1489173.879992118</v>
      </c>
      <c r="AV38" s="28">
        <f>AB36+AJ36-AL36</f>
        <v>68994</v>
      </c>
      <c r="AW38" s="28"/>
      <c r="BB38" s="10">
        <f t="shared" si="9"/>
        <v>66668</v>
      </c>
      <c r="BC38" s="10">
        <f t="shared" si="10"/>
        <v>0</v>
      </c>
    </row>
    <row r="39" spans="1:54" s="16" customFormat="1" ht="20.25">
      <c r="A39" s="13"/>
      <c r="B39" s="14"/>
      <c r="C39" s="13" t="s">
        <v>80</v>
      </c>
      <c r="D39" s="14"/>
      <c r="E39" s="43" t="s">
        <v>62</v>
      </c>
      <c r="F39" s="43"/>
      <c r="G39" s="44"/>
      <c r="H39" s="43"/>
      <c r="I39" s="43" t="s">
        <v>63</v>
      </c>
      <c r="J39" s="4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17"/>
      <c r="W39" s="15"/>
      <c r="X39" s="43"/>
      <c r="Y39" s="44"/>
      <c r="Z39" s="43"/>
      <c r="AA39" s="43"/>
      <c r="AB39" s="13"/>
      <c r="AC39" s="15" t="s">
        <v>77</v>
      </c>
      <c r="AD39" s="43"/>
      <c r="AE39" s="54"/>
      <c r="AF39" s="43"/>
      <c r="AG39" s="43"/>
      <c r="AH39" s="43"/>
      <c r="AI39" s="43"/>
      <c r="AJ39" s="13"/>
      <c r="AK39" s="192"/>
      <c r="AL39" s="13"/>
      <c r="AM39" s="18"/>
      <c r="AN39" s="193"/>
      <c r="AO39" s="54"/>
      <c r="AP39" s="146"/>
      <c r="AQ39" s="129"/>
      <c r="AR39" s="62"/>
      <c r="AS39" s="63"/>
      <c r="AT39" s="14"/>
      <c r="AU39" s="19"/>
      <c r="AV39" s="20"/>
      <c r="AW39" s="20"/>
      <c r="AX39" s="14"/>
      <c r="AY39" s="14"/>
      <c r="AZ39" s="14"/>
      <c r="BA39" s="14"/>
      <c r="BB39" s="14"/>
    </row>
    <row r="40" spans="1:54" s="16" customFormat="1" ht="20.25" hidden="1">
      <c r="A40" s="13"/>
      <c r="B40" s="14"/>
      <c r="C40" s="13"/>
      <c r="D40" s="14"/>
      <c r="E40" s="233"/>
      <c r="F40" s="233"/>
      <c r="G40" s="43"/>
      <c r="H40" s="43"/>
      <c r="I40" s="43"/>
      <c r="J40" s="43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17"/>
      <c r="W40" s="15"/>
      <c r="X40" s="43"/>
      <c r="Y40" s="44"/>
      <c r="Z40" s="43"/>
      <c r="AA40" s="43"/>
      <c r="AB40" s="13"/>
      <c r="AC40" s="15"/>
      <c r="AD40" s="43"/>
      <c r="AE40" s="43"/>
      <c r="AF40" s="43"/>
      <c r="AG40" s="43"/>
      <c r="AH40" s="43"/>
      <c r="AI40" s="43"/>
      <c r="AJ40" s="13"/>
      <c r="AK40" s="192"/>
      <c r="AL40" s="13"/>
      <c r="AM40" s="15"/>
      <c r="AN40" s="193"/>
      <c r="AO40" s="43"/>
      <c r="AP40" s="234"/>
      <c r="AQ40" s="129"/>
      <c r="AR40" s="62"/>
      <c r="AS40" s="235"/>
      <c r="AT40" s="14"/>
      <c r="AU40" s="27"/>
      <c r="AV40" s="20"/>
      <c r="AW40" s="20"/>
      <c r="AX40" s="236"/>
      <c r="AY40" s="14"/>
      <c r="AZ40" s="14"/>
      <c r="BA40" s="14"/>
      <c r="BB40" s="14"/>
    </row>
    <row r="41" spans="1:54" s="16" customFormat="1" ht="20.25" hidden="1">
      <c r="A41" s="13"/>
      <c r="B41" s="14"/>
      <c r="C41" s="13"/>
      <c r="D41" s="14"/>
      <c r="E41" s="233"/>
      <c r="F41" s="233"/>
      <c r="G41" s="43"/>
      <c r="H41" s="43"/>
      <c r="I41" s="43"/>
      <c r="J41" s="4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17"/>
      <c r="W41" s="15"/>
      <c r="X41" s="43"/>
      <c r="Y41" s="44"/>
      <c r="Z41" s="43"/>
      <c r="AA41" s="43"/>
      <c r="AB41" s="13"/>
      <c r="AC41" s="237"/>
      <c r="AD41" s="43"/>
      <c r="AE41" s="43"/>
      <c r="AF41" s="43"/>
      <c r="AG41" s="43"/>
      <c r="AH41" s="43"/>
      <c r="AI41" s="43"/>
      <c r="AJ41" s="13"/>
      <c r="AK41" s="192"/>
      <c r="AL41" s="13"/>
      <c r="AM41" s="15"/>
      <c r="AN41" s="193"/>
      <c r="AO41" s="43"/>
      <c r="AP41" s="234"/>
      <c r="AQ41" s="129"/>
      <c r="AR41" s="62"/>
      <c r="AS41" s="235"/>
      <c r="AT41" s="14"/>
      <c r="AU41" s="238"/>
      <c r="AV41" s="14"/>
      <c r="AW41" s="14"/>
      <c r="AX41" s="14"/>
      <c r="AY41" s="14"/>
      <c r="AZ41" s="14"/>
      <c r="BA41" s="14"/>
      <c r="BB41" s="14"/>
    </row>
    <row r="42" spans="1:54" s="16" customFormat="1" ht="20.25">
      <c r="A42" s="239"/>
      <c r="B42" s="198" t="s">
        <v>72</v>
      </c>
      <c r="C42" s="239"/>
      <c r="D42" s="14"/>
      <c r="E42" s="240"/>
      <c r="F42" s="240"/>
      <c r="G42" s="241"/>
      <c r="H42" s="241"/>
      <c r="I42" s="242"/>
      <c r="J42" s="242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17"/>
      <c r="W42" s="238"/>
      <c r="X42" s="243"/>
      <c r="Y42" s="44"/>
      <c r="Z42" s="44"/>
      <c r="AA42" s="44"/>
      <c r="AB42" s="239"/>
      <c r="AC42" s="244"/>
      <c r="AD42" s="44"/>
      <c r="AE42" s="44"/>
      <c r="AF42" s="44"/>
      <c r="AG42" s="44"/>
      <c r="AH42" s="44"/>
      <c r="AI42" s="44"/>
      <c r="AJ42" s="239"/>
      <c r="AK42" s="245"/>
      <c r="AL42" s="246"/>
      <c r="AM42" s="247"/>
      <c r="AN42" s="248"/>
      <c r="AO42" s="249"/>
      <c r="AP42" s="234"/>
      <c r="AQ42" s="129"/>
      <c r="AR42" s="62"/>
      <c r="AS42" s="235"/>
      <c r="AT42" s="14"/>
      <c r="AU42" s="238"/>
      <c r="AV42" s="14"/>
      <c r="AW42" s="14"/>
      <c r="AX42" s="14"/>
      <c r="AY42" s="14"/>
      <c r="AZ42" s="14"/>
      <c r="BA42" s="14"/>
      <c r="BB42" s="14"/>
    </row>
    <row r="43" spans="1:54" s="16" customFormat="1" ht="15.75" customHeight="1">
      <c r="A43" s="250"/>
      <c r="B43" s="251"/>
      <c r="C43" s="667" t="s">
        <v>64</v>
      </c>
      <c r="D43" s="251"/>
      <c r="E43" s="252" t="s">
        <v>64</v>
      </c>
      <c r="F43" s="252"/>
      <c r="G43" s="44"/>
      <c r="H43" s="252"/>
      <c r="I43" s="668" t="s">
        <v>65</v>
      </c>
      <c r="J43" s="668"/>
      <c r="K43" s="668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4"/>
      <c r="W43" s="255"/>
      <c r="X43" s="256"/>
      <c r="Y43" s="44"/>
      <c r="Z43" s="43"/>
      <c r="AA43" s="252"/>
      <c r="AB43" s="250"/>
      <c r="AC43" s="257" t="s">
        <v>65</v>
      </c>
      <c r="AD43" s="252"/>
      <c r="AE43" s="252"/>
      <c r="AF43" s="252"/>
      <c r="AG43" s="252"/>
      <c r="AH43" s="252"/>
      <c r="AI43" s="252"/>
      <c r="AJ43" s="250"/>
      <c r="AK43" s="258"/>
      <c r="AL43" s="250"/>
      <c r="AM43" s="259"/>
      <c r="AN43" s="260"/>
      <c r="AO43" s="252"/>
      <c r="AP43" s="261"/>
      <c r="AQ43" s="262"/>
      <c r="AR43" s="62"/>
      <c r="AS43" s="235"/>
      <c r="AT43" s="14"/>
      <c r="AU43" s="238"/>
      <c r="AV43" s="14"/>
      <c r="AW43" s="14"/>
      <c r="AX43" s="14"/>
      <c r="AY43" s="14"/>
      <c r="AZ43" s="14"/>
      <c r="BA43" s="14"/>
      <c r="BB43" s="14"/>
    </row>
    <row r="44" spans="1:54" s="269" customFormat="1" ht="18.75">
      <c r="A44" s="24"/>
      <c r="B44" s="198"/>
      <c r="C44" s="667"/>
      <c r="D44" s="198"/>
      <c r="E44" s="46"/>
      <c r="F44" s="46"/>
      <c r="G44" s="217"/>
      <c r="H44" s="217"/>
      <c r="I44" s="217"/>
      <c r="J44" s="217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263"/>
      <c r="W44" s="216"/>
      <c r="X44" s="217"/>
      <c r="Y44" s="217"/>
      <c r="Z44" s="217"/>
      <c r="AA44" s="217"/>
      <c r="AB44" s="264"/>
      <c r="AC44" s="216"/>
      <c r="AD44" s="217"/>
      <c r="AE44" s="217"/>
      <c r="AF44" s="217"/>
      <c r="AG44" s="217"/>
      <c r="AH44" s="217"/>
      <c r="AI44" s="217"/>
      <c r="AJ44" s="264"/>
      <c r="AK44" s="218"/>
      <c r="AL44" s="264"/>
      <c r="AM44" s="216"/>
      <c r="AN44" s="265"/>
      <c r="AO44" s="217"/>
      <c r="AP44" s="266"/>
      <c r="AQ44" s="267"/>
      <c r="AR44" s="268"/>
      <c r="AS44" s="61"/>
      <c r="AT44" s="26"/>
      <c r="AU44" s="198"/>
      <c r="AV44" s="26"/>
      <c r="AW44" s="26"/>
      <c r="AX44" s="26"/>
      <c r="AY44" s="26"/>
      <c r="AZ44" s="26"/>
      <c r="BA44" s="26"/>
      <c r="BB44" s="26"/>
    </row>
  </sheetData>
  <sheetProtection/>
  <mergeCells count="43">
    <mergeCell ref="AT15:AU15"/>
    <mergeCell ref="AV15:BA15"/>
    <mergeCell ref="C36:H36"/>
    <mergeCell ref="C43:C44"/>
    <mergeCell ref="I43:K43"/>
    <mergeCell ref="AN14:AO15"/>
    <mergeCell ref="AP14:AP15"/>
    <mergeCell ref="AQ14:AS15"/>
    <mergeCell ref="AT14:BA14"/>
    <mergeCell ref="N15:O15"/>
    <mergeCell ref="AD15:AE15"/>
    <mergeCell ref="AF15:AG15"/>
    <mergeCell ref="AH15:AI15"/>
    <mergeCell ref="X14:Y15"/>
    <mergeCell ref="Z14:AA15"/>
    <mergeCell ref="AB14:AC15"/>
    <mergeCell ref="AD14:AI14"/>
    <mergeCell ref="AJ14:AK15"/>
    <mergeCell ref="AL14:AM15"/>
    <mergeCell ref="K14:K16"/>
    <mergeCell ref="L14:M15"/>
    <mergeCell ref="N14:S14"/>
    <mergeCell ref="T14:T16"/>
    <mergeCell ref="U14:U16"/>
    <mergeCell ref="V14:W15"/>
    <mergeCell ref="P15:Q15"/>
    <mergeCell ref="R15:S15"/>
    <mergeCell ref="AP13:AX13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C6:AX6"/>
    <mergeCell ref="C7:AX7"/>
    <mergeCell ref="C8:AX8"/>
    <mergeCell ref="C9:AX9"/>
    <mergeCell ref="C10:AX10"/>
    <mergeCell ref="C11:AX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180" verticalDpi="18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6"/>
  <sheetViews>
    <sheetView view="pageBreakPreview" zoomScale="85" zoomScaleSheetLayoutView="85" zoomScalePageLayoutView="0" workbookViewId="0" topLeftCell="AB14">
      <selection activeCell="AZ33" sqref="AZ33:AZ34"/>
    </sheetView>
  </sheetViews>
  <sheetFormatPr defaultColWidth="9.140625" defaultRowHeight="15"/>
  <cols>
    <col min="1" max="1" width="3.140625" style="4" customWidth="1"/>
    <col min="2" max="2" width="6.28125" style="1" customWidth="1"/>
    <col min="3" max="3" width="23.00390625" style="4" customWidth="1"/>
    <col min="4" max="4" width="37.140625" style="4" customWidth="1"/>
    <col min="5" max="5" width="30.8515625" style="37" hidden="1" customWidth="1"/>
    <col min="6" max="6" width="38.7109375" style="37" hidden="1" customWidth="1"/>
    <col min="7" max="8" width="8.8515625" style="38" hidden="1" customWidth="1"/>
    <col min="9" max="9" width="16.7109375" style="38" hidden="1" customWidth="1"/>
    <col min="10" max="10" width="11.00390625" style="38" hidden="1" customWidth="1"/>
    <col min="11" max="11" width="12.57421875" style="38" hidden="1" customWidth="1"/>
    <col min="12" max="12" width="12.140625" style="38" hidden="1" customWidth="1"/>
    <col min="13" max="13" width="15.57421875" style="38" hidden="1" customWidth="1"/>
    <col min="14" max="14" width="8.8515625" style="38" hidden="1" customWidth="1"/>
    <col min="15" max="15" width="5.7109375" style="38" hidden="1" customWidth="1"/>
    <col min="16" max="16" width="8.8515625" style="38" hidden="1" customWidth="1"/>
    <col min="17" max="17" width="5.7109375" style="38" hidden="1" customWidth="1"/>
    <col min="18" max="18" width="8.8515625" style="38" hidden="1" customWidth="1"/>
    <col min="19" max="19" width="15.8515625" style="38" hidden="1" customWidth="1"/>
    <col min="20" max="21" width="15.8515625" style="39" hidden="1" customWidth="1"/>
    <col min="22" max="23" width="15.8515625" style="4" customWidth="1"/>
    <col min="24" max="24" width="12.57421875" style="37" hidden="1" customWidth="1"/>
    <col min="25" max="25" width="13.00390625" style="37" hidden="1" customWidth="1"/>
    <col min="26" max="26" width="8.7109375" style="37" hidden="1" customWidth="1"/>
    <col min="27" max="27" width="13.140625" style="37" hidden="1" customWidth="1"/>
    <col min="28" max="28" width="10.57421875" style="11" customWidth="1"/>
    <col min="29" max="29" width="13.00390625" style="4" customWidth="1"/>
    <col min="30" max="30" width="9.57421875" style="37" hidden="1" customWidth="1"/>
    <col min="31" max="31" width="11.57421875" style="37" hidden="1" customWidth="1"/>
    <col min="32" max="32" width="9.28125" style="37" hidden="1" customWidth="1"/>
    <col min="33" max="33" width="14.421875" style="37" hidden="1" customWidth="1"/>
    <col min="34" max="34" width="10.57421875" style="37" hidden="1" customWidth="1"/>
    <col min="35" max="35" width="13.00390625" style="37" hidden="1" customWidth="1"/>
    <col min="36" max="36" width="10.57421875" style="11" customWidth="1"/>
    <col min="37" max="37" width="14.140625" style="188" customWidth="1"/>
    <col min="38" max="38" width="10.57421875" style="11" customWidth="1"/>
    <col min="39" max="39" width="13.00390625" style="4" customWidth="1"/>
    <col min="40" max="40" width="16.00390625" style="189" hidden="1" customWidth="1"/>
    <col min="41" max="41" width="14.7109375" style="37" hidden="1" customWidth="1"/>
    <col min="42" max="42" width="11.57421875" style="57" hidden="1" customWidth="1"/>
    <col min="43" max="43" width="13.00390625" style="58" hidden="1" customWidth="1"/>
    <col min="44" max="44" width="14.8515625" style="38" hidden="1" customWidth="1"/>
    <col min="45" max="45" width="15.00390625" style="38" hidden="1" customWidth="1"/>
    <col min="46" max="46" width="10.57421875" style="12" customWidth="1"/>
    <col min="47" max="47" width="14.421875" style="1" customWidth="1"/>
    <col min="48" max="48" width="10.57421875" style="270" customWidth="1"/>
    <col min="49" max="49" width="11.28125" style="1" customWidth="1"/>
    <col min="50" max="50" width="12.00390625" style="1" customWidth="1"/>
    <col min="51" max="51" width="8.421875" style="1" customWidth="1"/>
    <col min="52" max="52" width="12.140625" style="1" customWidth="1"/>
    <col min="53" max="53" width="11.57421875" style="1" customWidth="1"/>
    <col min="54" max="54" width="14.421875" style="4" customWidth="1"/>
    <col min="55" max="55" width="5.7109375" style="4" customWidth="1"/>
    <col min="56" max="56" width="9.140625" style="4" customWidth="1"/>
    <col min="57" max="16384" width="9.140625" style="4" customWidth="1"/>
  </cols>
  <sheetData>
    <row r="1" spans="2:53" s="197" customFormat="1" ht="21.75" customHeight="1">
      <c r="B1" s="198"/>
      <c r="E1" s="199"/>
      <c r="F1" s="199"/>
      <c r="G1" s="29"/>
      <c r="H1" s="2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29"/>
      <c r="U1" s="29"/>
      <c r="V1" s="200"/>
      <c r="W1" s="200"/>
      <c r="X1" s="201"/>
      <c r="Y1" s="201"/>
      <c r="Z1" s="201"/>
      <c r="AA1" s="201"/>
      <c r="AB1" s="202"/>
      <c r="AD1" s="201"/>
      <c r="AE1" s="201"/>
      <c r="AF1" s="201"/>
      <c r="AG1" s="201"/>
      <c r="AH1" s="201"/>
      <c r="AI1" s="201"/>
      <c r="AJ1" s="202"/>
      <c r="AK1" s="203"/>
      <c r="AL1" s="204" t="s">
        <v>0</v>
      </c>
      <c r="AN1" s="205"/>
      <c r="AO1" s="201"/>
      <c r="AP1" s="206"/>
      <c r="AQ1" s="207"/>
      <c r="AR1" s="201"/>
      <c r="AS1" s="201"/>
      <c r="AT1" s="202"/>
      <c r="AV1" s="208"/>
      <c r="AW1" s="208"/>
      <c r="AX1" s="208"/>
      <c r="AY1" s="208"/>
      <c r="AZ1" s="208"/>
      <c r="BA1" s="208"/>
    </row>
    <row r="2" spans="2:53" s="197" customFormat="1" ht="15" customHeight="1">
      <c r="B2" s="198"/>
      <c r="E2" s="199"/>
      <c r="F2" s="199"/>
      <c r="G2" s="29"/>
      <c r="H2" s="2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29"/>
      <c r="U2" s="29"/>
      <c r="V2" s="200"/>
      <c r="W2" s="200"/>
      <c r="X2" s="201"/>
      <c r="Y2" s="201"/>
      <c r="Z2" s="201"/>
      <c r="AA2" s="201"/>
      <c r="AB2" s="202"/>
      <c r="AD2" s="201"/>
      <c r="AE2" s="201"/>
      <c r="AF2" s="201"/>
      <c r="AG2" s="201"/>
      <c r="AH2" s="201"/>
      <c r="AI2" s="201"/>
      <c r="AJ2" s="202"/>
      <c r="AK2" s="203"/>
      <c r="AL2" s="202" t="s">
        <v>1</v>
      </c>
      <c r="AN2" s="205"/>
      <c r="AO2" s="201"/>
      <c r="AP2" s="206"/>
      <c r="AQ2" s="207"/>
      <c r="AR2" s="201"/>
      <c r="AS2" s="201"/>
      <c r="AT2" s="202"/>
      <c r="AV2" s="208"/>
      <c r="AW2" s="208"/>
      <c r="AX2" s="208"/>
      <c r="AY2" s="208"/>
      <c r="AZ2" s="208"/>
      <c r="BA2" s="208"/>
    </row>
    <row r="3" spans="2:53" s="197" customFormat="1" ht="15.75">
      <c r="B3" s="198"/>
      <c r="E3" s="199"/>
      <c r="F3" s="199"/>
      <c r="G3" s="29"/>
      <c r="H3" s="2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9"/>
      <c r="U3" s="29"/>
      <c r="V3" s="200"/>
      <c r="W3" s="200"/>
      <c r="X3" s="201"/>
      <c r="Y3" s="201"/>
      <c r="Z3" s="201"/>
      <c r="AA3" s="201"/>
      <c r="AB3" s="202"/>
      <c r="AD3" s="201"/>
      <c r="AE3" s="201"/>
      <c r="AF3" s="201"/>
      <c r="AG3" s="201"/>
      <c r="AH3" s="201"/>
      <c r="AI3" s="201"/>
      <c r="AJ3" s="202"/>
      <c r="AK3" s="203"/>
      <c r="AL3" s="202" t="s">
        <v>2</v>
      </c>
      <c r="AN3" s="205"/>
      <c r="AO3" s="201"/>
      <c r="AP3" s="206"/>
      <c r="AQ3" s="207"/>
      <c r="AR3" s="201"/>
      <c r="AS3" s="201"/>
      <c r="AT3" s="202"/>
      <c r="AV3" s="208"/>
      <c r="AW3" s="208"/>
      <c r="AX3" s="208"/>
      <c r="AY3" s="208"/>
      <c r="AZ3" s="208"/>
      <c r="BA3" s="208"/>
    </row>
    <row r="4" spans="2:53" s="197" customFormat="1" ht="15.75">
      <c r="B4" s="198"/>
      <c r="E4" s="199"/>
      <c r="F4" s="199"/>
      <c r="G4" s="29"/>
      <c r="H4" s="2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9"/>
      <c r="U4" s="29"/>
      <c r="V4" s="200"/>
      <c r="W4" s="200"/>
      <c r="X4" s="201"/>
      <c r="Y4" s="201"/>
      <c r="Z4" s="201"/>
      <c r="AA4" s="201"/>
      <c r="AB4" s="202"/>
      <c r="AD4" s="201"/>
      <c r="AE4" s="201"/>
      <c r="AF4" s="201"/>
      <c r="AG4" s="201"/>
      <c r="AH4" s="201"/>
      <c r="AI4" s="201"/>
      <c r="AJ4" s="202"/>
      <c r="AK4" s="203"/>
      <c r="AL4" s="202" t="s">
        <v>3</v>
      </c>
      <c r="AN4" s="205"/>
      <c r="AO4" s="201"/>
      <c r="AP4" s="206"/>
      <c r="AQ4" s="207"/>
      <c r="AR4" s="201"/>
      <c r="AS4" s="201"/>
      <c r="AT4" s="202"/>
      <c r="AV4" s="208"/>
      <c r="AW4" s="208"/>
      <c r="AX4" s="208"/>
      <c r="AY4" s="208"/>
      <c r="AZ4" s="208"/>
      <c r="BA4" s="208"/>
    </row>
    <row r="5" spans="2:53" s="197" customFormat="1" ht="15.75" hidden="1">
      <c r="B5" s="198"/>
      <c r="E5" s="199"/>
      <c r="F5" s="199"/>
      <c r="G5" s="29"/>
      <c r="H5" s="2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29"/>
      <c r="U5" s="29"/>
      <c r="V5" s="200"/>
      <c r="W5" s="200"/>
      <c r="X5" s="201"/>
      <c r="Y5" s="201"/>
      <c r="Z5" s="201"/>
      <c r="AA5" s="201"/>
      <c r="AB5" s="202"/>
      <c r="AD5" s="201"/>
      <c r="AE5" s="201"/>
      <c r="AF5" s="201"/>
      <c r="AG5" s="201"/>
      <c r="AH5" s="201"/>
      <c r="AI5" s="201"/>
      <c r="AJ5" s="202"/>
      <c r="AK5" s="203"/>
      <c r="AL5" s="202"/>
      <c r="AN5" s="205"/>
      <c r="AO5" s="201"/>
      <c r="AP5" s="206"/>
      <c r="AQ5" s="207"/>
      <c r="AR5" s="201"/>
      <c r="AS5" s="201"/>
      <c r="AT5" s="202"/>
      <c r="AV5" s="208"/>
      <c r="AW5" s="208"/>
      <c r="AX5" s="208"/>
      <c r="AY5" s="208"/>
      <c r="AZ5" s="208"/>
      <c r="BA5" s="208"/>
    </row>
    <row r="6" spans="2:53" s="197" customFormat="1" ht="18.75">
      <c r="B6" s="198"/>
      <c r="C6" s="645" t="s">
        <v>4</v>
      </c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45"/>
      <c r="AA6" s="645"/>
      <c r="AB6" s="645"/>
      <c r="AC6" s="645"/>
      <c r="AD6" s="645"/>
      <c r="AE6" s="645"/>
      <c r="AF6" s="645"/>
      <c r="AG6" s="645"/>
      <c r="AH6" s="645"/>
      <c r="AI6" s="645"/>
      <c r="AJ6" s="645"/>
      <c r="AK6" s="645"/>
      <c r="AL6" s="645"/>
      <c r="AM6" s="645"/>
      <c r="AN6" s="645"/>
      <c r="AO6" s="645"/>
      <c r="AP6" s="645"/>
      <c r="AQ6" s="645"/>
      <c r="AR6" s="645"/>
      <c r="AS6" s="645"/>
      <c r="AT6" s="645"/>
      <c r="AU6" s="645"/>
      <c r="AV6" s="645"/>
      <c r="AW6" s="645"/>
      <c r="AX6" s="645"/>
      <c r="AY6" s="209"/>
      <c r="AZ6" s="209"/>
      <c r="BA6" s="209"/>
    </row>
    <row r="7" spans="2:53" s="197" customFormat="1" ht="18.75">
      <c r="B7" s="198"/>
      <c r="C7" s="646" t="s">
        <v>5</v>
      </c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6"/>
      <c r="AE7" s="646"/>
      <c r="AF7" s="646"/>
      <c r="AG7" s="646"/>
      <c r="AH7" s="646"/>
      <c r="AI7" s="646"/>
      <c r="AJ7" s="646"/>
      <c r="AK7" s="646"/>
      <c r="AL7" s="646"/>
      <c r="AM7" s="646"/>
      <c r="AN7" s="646"/>
      <c r="AO7" s="646"/>
      <c r="AP7" s="646"/>
      <c r="AQ7" s="646"/>
      <c r="AR7" s="646"/>
      <c r="AS7" s="646"/>
      <c r="AT7" s="646"/>
      <c r="AU7" s="646"/>
      <c r="AV7" s="646"/>
      <c r="AW7" s="646"/>
      <c r="AX7" s="646"/>
      <c r="AY7" s="210"/>
      <c r="AZ7" s="210"/>
      <c r="BA7" s="210"/>
    </row>
    <row r="8" spans="2:53" s="197" customFormat="1" ht="18.75">
      <c r="B8" s="198"/>
      <c r="C8" s="646" t="s">
        <v>6</v>
      </c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46"/>
      <c r="AQ8" s="646"/>
      <c r="AR8" s="646"/>
      <c r="AS8" s="646"/>
      <c r="AT8" s="646"/>
      <c r="AU8" s="646"/>
      <c r="AV8" s="646"/>
      <c r="AW8" s="646"/>
      <c r="AX8" s="646"/>
      <c r="AY8" s="210"/>
      <c r="AZ8" s="210"/>
      <c r="BA8" s="210"/>
    </row>
    <row r="9" spans="2:53" s="197" customFormat="1" ht="18.75">
      <c r="B9" s="211"/>
      <c r="C9" s="647" t="s">
        <v>82</v>
      </c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7"/>
      <c r="V9" s="647"/>
      <c r="W9" s="647"/>
      <c r="X9" s="647"/>
      <c r="Y9" s="647"/>
      <c r="Z9" s="647"/>
      <c r="AA9" s="647"/>
      <c r="AB9" s="647"/>
      <c r="AC9" s="647"/>
      <c r="AD9" s="647"/>
      <c r="AE9" s="647"/>
      <c r="AF9" s="647"/>
      <c r="AG9" s="647"/>
      <c r="AH9" s="647"/>
      <c r="AI9" s="647"/>
      <c r="AJ9" s="647"/>
      <c r="AK9" s="647"/>
      <c r="AL9" s="647"/>
      <c r="AM9" s="647"/>
      <c r="AN9" s="647"/>
      <c r="AO9" s="647"/>
      <c r="AP9" s="647"/>
      <c r="AQ9" s="647"/>
      <c r="AR9" s="647"/>
      <c r="AS9" s="647"/>
      <c r="AT9" s="647"/>
      <c r="AU9" s="647"/>
      <c r="AV9" s="647"/>
      <c r="AW9" s="647"/>
      <c r="AX9" s="647"/>
      <c r="AY9" s="212"/>
      <c r="AZ9" s="212"/>
      <c r="BA9" s="212"/>
    </row>
    <row r="10" spans="2:53" s="197" customFormat="1" ht="18.75">
      <c r="B10" s="211"/>
      <c r="C10" s="647" t="s">
        <v>125</v>
      </c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7"/>
      <c r="AT10" s="647"/>
      <c r="AU10" s="647"/>
      <c r="AV10" s="647"/>
      <c r="AW10" s="647"/>
      <c r="AX10" s="647"/>
      <c r="AY10" s="212"/>
      <c r="AZ10" s="212"/>
      <c r="BA10" s="212"/>
    </row>
    <row r="11" spans="2:53" s="213" customFormat="1" ht="18.75">
      <c r="B11" s="214"/>
      <c r="C11" s="648" t="s">
        <v>7</v>
      </c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648"/>
      <c r="AQ11" s="648"/>
      <c r="AR11" s="648"/>
      <c r="AS11" s="648"/>
      <c r="AT11" s="648"/>
      <c r="AU11" s="648"/>
      <c r="AV11" s="648"/>
      <c r="AW11" s="648"/>
      <c r="AX11" s="648"/>
      <c r="AY11" s="215"/>
      <c r="AZ11" s="215"/>
      <c r="BA11" s="215"/>
    </row>
    <row r="12" spans="3:53" ht="18.75" hidden="1">
      <c r="C12" s="216"/>
      <c r="D12" s="216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6"/>
      <c r="W12" s="216"/>
      <c r="X12" s="217"/>
      <c r="Y12" s="217"/>
      <c r="Z12" s="217"/>
      <c r="AA12" s="217"/>
      <c r="AB12" s="216"/>
      <c r="AC12" s="216"/>
      <c r="AD12" s="217"/>
      <c r="AE12" s="217"/>
      <c r="AF12" s="217"/>
      <c r="AG12" s="217"/>
      <c r="AH12" s="217"/>
      <c r="AI12" s="217"/>
      <c r="AJ12" s="216"/>
      <c r="AK12" s="218"/>
      <c r="AL12" s="216"/>
      <c r="AM12" s="216"/>
      <c r="AN12" s="219"/>
      <c r="AO12" s="217"/>
      <c r="AP12" s="220"/>
      <c r="AQ12" s="221"/>
      <c r="AR12" s="222"/>
      <c r="AS12" s="222"/>
      <c r="AT12" s="221"/>
      <c r="AU12" s="222"/>
      <c r="AV12" s="222"/>
      <c r="AW12" s="222"/>
      <c r="AX12" s="222"/>
      <c r="AY12" s="222"/>
      <c r="AZ12" s="222"/>
      <c r="BA12" s="222"/>
    </row>
    <row r="13" spans="3:53" ht="20.25" customHeight="1" hidden="1">
      <c r="C13" s="223"/>
      <c r="D13" s="223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3"/>
      <c r="W13" s="223"/>
      <c r="X13" s="224"/>
      <c r="Y13" s="224"/>
      <c r="Z13" s="224"/>
      <c r="AA13" s="224"/>
      <c r="AB13" s="223"/>
      <c r="AC13" s="223"/>
      <c r="AD13" s="224"/>
      <c r="AE13" s="224"/>
      <c r="AF13" s="224"/>
      <c r="AG13" s="224"/>
      <c r="AH13" s="224"/>
      <c r="AI13" s="224"/>
      <c r="AJ13" s="223"/>
      <c r="AK13" s="225"/>
      <c r="AL13" s="223"/>
      <c r="AM13" s="223"/>
      <c r="AN13" s="226"/>
      <c r="AO13" s="224"/>
      <c r="AP13" s="649"/>
      <c r="AQ13" s="649"/>
      <c r="AR13" s="649"/>
      <c r="AS13" s="649"/>
      <c r="AT13" s="649"/>
      <c r="AU13" s="649"/>
      <c r="AV13" s="649"/>
      <c r="AW13" s="649"/>
      <c r="AX13" s="649"/>
      <c r="AY13" s="587"/>
      <c r="AZ13" s="587"/>
      <c r="BA13" s="587"/>
    </row>
    <row r="14" spans="2:53" s="1" customFormat="1" ht="29.25" customHeight="1">
      <c r="B14" s="633" t="s">
        <v>8</v>
      </c>
      <c r="C14" s="626" t="s">
        <v>9</v>
      </c>
      <c r="D14" s="626" t="s">
        <v>10</v>
      </c>
      <c r="E14" s="650" t="s">
        <v>11</v>
      </c>
      <c r="F14" s="650" t="s">
        <v>102</v>
      </c>
      <c r="G14" s="653" t="s">
        <v>12</v>
      </c>
      <c r="H14" s="653" t="s">
        <v>13</v>
      </c>
      <c r="I14" s="650" t="s">
        <v>14</v>
      </c>
      <c r="J14" s="650" t="s">
        <v>15</v>
      </c>
      <c r="K14" s="650" t="s">
        <v>16</v>
      </c>
      <c r="L14" s="654" t="s">
        <v>119</v>
      </c>
      <c r="M14" s="654"/>
      <c r="N14" s="655" t="s">
        <v>17</v>
      </c>
      <c r="O14" s="656"/>
      <c r="P14" s="656"/>
      <c r="Q14" s="656"/>
      <c r="R14" s="656"/>
      <c r="S14" s="657"/>
      <c r="T14" s="658" t="s">
        <v>18</v>
      </c>
      <c r="U14" s="658" t="s">
        <v>19</v>
      </c>
      <c r="V14" s="629" t="s">
        <v>20</v>
      </c>
      <c r="W14" s="630"/>
      <c r="X14" s="661" t="s">
        <v>21</v>
      </c>
      <c r="Y14" s="662"/>
      <c r="Z14" s="661" t="s">
        <v>22</v>
      </c>
      <c r="AA14" s="662"/>
      <c r="AB14" s="606" t="s">
        <v>23</v>
      </c>
      <c r="AC14" s="606"/>
      <c r="AD14" s="665" t="s">
        <v>71</v>
      </c>
      <c r="AE14" s="665"/>
      <c r="AF14" s="665"/>
      <c r="AG14" s="665"/>
      <c r="AH14" s="665"/>
      <c r="AI14" s="665"/>
      <c r="AJ14" s="606" t="s">
        <v>91</v>
      </c>
      <c r="AK14" s="606"/>
      <c r="AL14" s="606" t="s">
        <v>92</v>
      </c>
      <c r="AM14" s="606"/>
      <c r="AN14" s="666" t="s">
        <v>127</v>
      </c>
      <c r="AO14" s="666"/>
      <c r="AP14" s="669" t="s">
        <v>24</v>
      </c>
      <c r="AQ14" s="666" t="s">
        <v>25</v>
      </c>
      <c r="AR14" s="665"/>
      <c r="AS14" s="665"/>
      <c r="AT14" s="615" t="s">
        <v>126</v>
      </c>
      <c r="AU14" s="616"/>
      <c r="AV14" s="616"/>
      <c r="AW14" s="616"/>
      <c r="AX14" s="616"/>
      <c r="AY14" s="616"/>
      <c r="AZ14" s="616"/>
      <c r="BA14" s="617"/>
    </row>
    <row r="15" spans="2:53" s="1" customFormat="1" ht="33.75" customHeight="1">
      <c r="B15" s="634"/>
      <c r="C15" s="627"/>
      <c r="D15" s="627"/>
      <c r="E15" s="651"/>
      <c r="F15" s="651"/>
      <c r="G15" s="653"/>
      <c r="H15" s="653"/>
      <c r="I15" s="651"/>
      <c r="J15" s="651"/>
      <c r="K15" s="651"/>
      <c r="L15" s="654"/>
      <c r="M15" s="654"/>
      <c r="N15" s="655" t="s">
        <v>26</v>
      </c>
      <c r="O15" s="657"/>
      <c r="P15" s="655" t="s">
        <v>86</v>
      </c>
      <c r="Q15" s="657"/>
      <c r="R15" s="655" t="s">
        <v>87</v>
      </c>
      <c r="S15" s="657"/>
      <c r="T15" s="659"/>
      <c r="U15" s="659"/>
      <c r="V15" s="631"/>
      <c r="W15" s="632"/>
      <c r="X15" s="663"/>
      <c r="Y15" s="664"/>
      <c r="Z15" s="663"/>
      <c r="AA15" s="664"/>
      <c r="AB15" s="606"/>
      <c r="AC15" s="606"/>
      <c r="AD15" s="654" t="s">
        <v>88</v>
      </c>
      <c r="AE15" s="654"/>
      <c r="AF15" s="654" t="s">
        <v>89</v>
      </c>
      <c r="AG15" s="654"/>
      <c r="AH15" s="654" t="s">
        <v>90</v>
      </c>
      <c r="AI15" s="654"/>
      <c r="AJ15" s="606"/>
      <c r="AK15" s="606"/>
      <c r="AL15" s="606"/>
      <c r="AM15" s="606"/>
      <c r="AN15" s="666"/>
      <c r="AO15" s="666"/>
      <c r="AP15" s="669"/>
      <c r="AQ15" s="665"/>
      <c r="AR15" s="665"/>
      <c r="AS15" s="665"/>
      <c r="AT15" s="614" t="s">
        <v>27</v>
      </c>
      <c r="AU15" s="614"/>
      <c r="AV15" s="607" t="s">
        <v>28</v>
      </c>
      <c r="AW15" s="608"/>
      <c r="AX15" s="608"/>
      <c r="AY15" s="608"/>
      <c r="AZ15" s="608"/>
      <c r="BA15" s="609"/>
    </row>
    <row r="16" spans="2:53" ht="48">
      <c r="B16" s="635"/>
      <c r="C16" s="628"/>
      <c r="D16" s="628"/>
      <c r="E16" s="652"/>
      <c r="F16" s="652"/>
      <c r="G16" s="653"/>
      <c r="H16" s="653"/>
      <c r="I16" s="652"/>
      <c r="J16" s="652"/>
      <c r="K16" s="652"/>
      <c r="L16" s="588" t="s">
        <v>29</v>
      </c>
      <c r="M16" s="588" t="s">
        <v>30</v>
      </c>
      <c r="N16" s="588" t="s">
        <v>29</v>
      </c>
      <c r="O16" s="588" t="s">
        <v>30</v>
      </c>
      <c r="P16" s="588" t="s">
        <v>29</v>
      </c>
      <c r="Q16" s="588" t="s">
        <v>30</v>
      </c>
      <c r="R16" s="588" t="s">
        <v>29</v>
      </c>
      <c r="S16" s="588" t="s">
        <v>30</v>
      </c>
      <c r="T16" s="660"/>
      <c r="U16" s="660"/>
      <c r="V16" s="2" t="s">
        <v>31</v>
      </c>
      <c r="W16" s="2" t="s">
        <v>32</v>
      </c>
      <c r="X16" s="47" t="s">
        <v>31</v>
      </c>
      <c r="Y16" s="47" t="s">
        <v>32</v>
      </c>
      <c r="Z16" s="47" t="s">
        <v>31</v>
      </c>
      <c r="AA16" s="47" t="s">
        <v>32</v>
      </c>
      <c r="AB16" s="586" t="s">
        <v>33</v>
      </c>
      <c r="AC16" s="586" t="s">
        <v>34</v>
      </c>
      <c r="AD16" s="50" t="s">
        <v>29</v>
      </c>
      <c r="AE16" s="50" t="s">
        <v>30</v>
      </c>
      <c r="AF16" s="50" t="s">
        <v>29</v>
      </c>
      <c r="AG16" s="50" t="s">
        <v>30</v>
      </c>
      <c r="AH16" s="50" t="s">
        <v>29</v>
      </c>
      <c r="AI16" s="50" t="s">
        <v>30</v>
      </c>
      <c r="AJ16" s="586" t="s">
        <v>33</v>
      </c>
      <c r="AK16" s="176" t="s">
        <v>34</v>
      </c>
      <c r="AL16" s="586" t="s">
        <v>33</v>
      </c>
      <c r="AM16" s="586" t="s">
        <v>34</v>
      </c>
      <c r="AN16" s="177" t="s">
        <v>33</v>
      </c>
      <c r="AO16" s="55" t="s">
        <v>34</v>
      </c>
      <c r="AP16" s="53" t="s">
        <v>33</v>
      </c>
      <c r="AQ16" s="589" t="s">
        <v>33</v>
      </c>
      <c r="AR16" s="589" t="s">
        <v>35</v>
      </c>
      <c r="AS16" s="589" t="s">
        <v>34</v>
      </c>
      <c r="AT16" s="586" t="s">
        <v>33</v>
      </c>
      <c r="AU16" s="586" t="s">
        <v>34</v>
      </c>
      <c r="AV16" s="158" t="s">
        <v>81</v>
      </c>
      <c r="AW16" s="159" t="s">
        <v>36</v>
      </c>
      <c r="AX16" s="159" t="s">
        <v>37</v>
      </c>
      <c r="AY16" s="159" t="s">
        <v>67</v>
      </c>
      <c r="AZ16" s="159" t="s">
        <v>66</v>
      </c>
      <c r="BA16" s="159" t="s">
        <v>38</v>
      </c>
    </row>
    <row r="17" spans="2:55" s="472" customFormat="1" ht="15.75">
      <c r="B17" s="473">
        <v>1</v>
      </c>
      <c r="C17" s="388" t="s">
        <v>44</v>
      </c>
      <c r="D17" s="474" t="s">
        <v>108</v>
      </c>
      <c r="E17" s="475" t="s">
        <v>110</v>
      </c>
      <c r="F17" s="476" t="s">
        <v>112</v>
      </c>
      <c r="G17" s="391" t="s">
        <v>47</v>
      </c>
      <c r="H17" s="391" t="s">
        <v>47</v>
      </c>
      <c r="I17" s="477">
        <v>168</v>
      </c>
      <c r="J17" s="477">
        <v>200</v>
      </c>
      <c r="K17" s="477">
        <v>429.52</v>
      </c>
      <c r="L17" s="391">
        <v>33600</v>
      </c>
      <c r="M17" s="557">
        <v>14431872</v>
      </c>
      <c r="N17" s="478"/>
      <c r="O17" s="478"/>
      <c r="P17" s="478"/>
      <c r="Q17" s="478"/>
      <c r="R17" s="478"/>
      <c r="S17" s="478"/>
      <c r="T17" s="479">
        <v>1121842</v>
      </c>
      <c r="U17" s="480">
        <v>44773</v>
      </c>
      <c r="V17" s="481">
        <v>309</v>
      </c>
      <c r="W17" s="482">
        <v>43873</v>
      </c>
      <c r="X17" s="481" t="s">
        <v>113</v>
      </c>
      <c r="Y17" s="482">
        <v>43878</v>
      </c>
      <c r="Z17" s="481"/>
      <c r="AA17" s="481"/>
      <c r="AB17" s="397">
        <v>0</v>
      </c>
      <c r="AC17" s="397">
        <v>0</v>
      </c>
      <c r="AD17" s="483"/>
      <c r="AE17" s="483"/>
      <c r="AF17" s="483">
        <v>2520</v>
      </c>
      <c r="AG17" s="483">
        <v>963704.25</v>
      </c>
      <c r="AH17" s="483"/>
      <c r="AI17" s="483"/>
      <c r="AJ17" s="400">
        <f aca="true" t="shared" si="0" ref="AJ17:AK36">AD17+AF17+AH17</f>
        <v>2520</v>
      </c>
      <c r="AK17" s="403">
        <f t="shared" si="0"/>
        <v>963704.25</v>
      </c>
      <c r="AL17" s="503">
        <f aca="true" t="shared" si="1" ref="AL17:AL22">AB17+AJ17-AT17</f>
        <v>0</v>
      </c>
      <c r="AM17" s="403">
        <f aca="true" t="shared" si="2" ref="AM17:AM22">AC17+AG17-AS17</f>
        <v>963704.25</v>
      </c>
      <c r="AN17" s="504">
        <v>2520</v>
      </c>
      <c r="AO17" s="505">
        <v>963704.24999856</v>
      </c>
      <c r="AP17" s="403"/>
      <c r="AQ17" s="403"/>
      <c r="AR17" s="403">
        <v>382.422321428</v>
      </c>
      <c r="AS17" s="401">
        <f aca="true" t="shared" si="3" ref="AS17:AS22">AQ17*AR17</f>
        <v>0</v>
      </c>
      <c r="AT17" s="511">
        <f>SUM(AV17:BA17)</f>
        <v>2520</v>
      </c>
      <c r="AU17" s="403">
        <f aca="true" t="shared" si="4" ref="AU17:AU22">AR17*AT17</f>
        <v>963704.24999856</v>
      </c>
      <c r="AV17" s="514">
        <v>2520</v>
      </c>
      <c r="AW17" s="506"/>
      <c r="AX17" s="506"/>
      <c r="AY17" s="506"/>
      <c r="AZ17" s="506"/>
      <c r="BA17" s="506"/>
      <c r="BB17" s="407">
        <f aca="true" t="shared" si="5" ref="BB17:BB40">AB17+AJ17-AL17</f>
        <v>2520</v>
      </c>
      <c r="BC17" s="407">
        <f aca="true" t="shared" si="6" ref="BC17:BC40">BB17-AT17</f>
        <v>0</v>
      </c>
    </row>
    <row r="18" spans="2:55" s="472" customFormat="1" ht="15.75">
      <c r="B18" s="473"/>
      <c r="C18" s="388" t="s">
        <v>44</v>
      </c>
      <c r="D18" s="474" t="s">
        <v>128</v>
      </c>
      <c r="E18" s="475" t="s">
        <v>110</v>
      </c>
      <c r="F18" s="476" t="s">
        <v>112</v>
      </c>
      <c r="G18" s="391" t="s">
        <v>47</v>
      </c>
      <c r="H18" s="391" t="s">
        <v>47</v>
      </c>
      <c r="I18" s="477"/>
      <c r="J18" s="477"/>
      <c r="K18" s="477"/>
      <c r="L18" s="391"/>
      <c r="M18" s="557"/>
      <c r="N18" s="478"/>
      <c r="O18" s="478"/>
      <c r="P18" s="478"/>
      <c r="Q18" s="478"/>
      <c r="R18" s="478"/>
      <c r="S18" s="478"/>
      <c r="T18" s="479">
        <v>1121842</v>
      </c>
      <c r="U18" s="480">
        <v>44773</v>
      </c>
      <c r="V18" s="481">
        <v>816</v>
      </c>
      <c r="W18" s="482">
        <v>43928</v>
      </c>
      <c r="X18" s="481" t="s">
        <v>130</v>
      </c>
      <c r="Y18" s="482">
        <v>43934</v>
      </c>
      <c r="Z18" s="481"/>
      <c r="AA18" s="481"/>
      <c r="AB18" s="397">
        <v>0</v>
      </c>
      <c r="AC18" s="397">
        <v>0</v>
      </c>
      <c r="AD18" s="483"/>
      <c r="AE18" s="483"/>
      <c r="AF18" s="483">
        <v>2912</v>
      </c>
      <c r="AG18" s="483">
        <v>1113613.8</v>
      </c>
      <c r="AH18" s="483"/>
      <c r="AI18" s="483"/>
      <c r="AJ18" s="400">
        <f>AD18+AF18+AH18</f>
        <v>2912</v>
      </c>
      <c r="AK18" s="403">
        <f>AE18+AG18+AI18</f>
        <v>1113613.8</v>
      </c>
      <c r="AL18" s="503">
        <f t="shared" si="1"/>
        <v>0</v>
      </c>
      <c r="AM18" s="403">
        <f t="shared" si="2"/>
        <v>1113613.8</v>
      </c>
      <c r="AN18" s="504">
        <v>0</v>
      </c>
      <c r="AO18" s="505">
        <v>0</v>
      </c>
      <c r="AP18" s="403">
        <v>2912</v>
      </c>
      <c r="AQ18" s="403"/>
      <c r="AR18" s="403">
        <v>382.4223214285714</v>
      </c>
      <c r="AS18" s="401">
        <f t="shared" si="3"/>
        <v>0</v>
      </c>
      <c r="AT18" s="511">
        <f>SUM(AV18:BA18)</f>
        <v>2912</v>
      </c>
      <c r="AU18" s="403">
        <f t="shared" si="4"/>
        <v>1113613.8</v>
      </c>
      <c r="AV18" s="514">
        <v>2912</v>
      </c>
      <c r="AW18" s="506"/>
      <c r="AX18" s="506"/>
      <c r="AY18" s="506"/>
      <c r="AZ18" s="506"/>
      <c r="BA18" s="506"/>
      <c r="BB18" s="407"/>
      <c r="BC18" s="407"/>
    </row>
    <row r="19" spans="2:55" s="484" customFormat="1" ht="15.75">
      <c r="B19" s="485">
        <v>2</v>
      </c>
      <c r="C19" s="486" t="s">
        <v>44</v>
      </c>
      <c r="D19" s="487" t="s">
        <v>109</v>
      </c>
      <c r="E19" s="488" t="s">
        <v>111</v>
      </c>
      <c r="F19" s="489" t="s">
        <v>112</v>
      </c>
      <c r="G19" s="490" t="s">
        <v>47</v>
      </c>
      <c r="H19" s="490" t="s">
        <v>47</v>
      </c>
      <c r="I19" s="491">
        <v>168</v>
      </c>
      <c r="J19" s="491">
        <v>200</v>
      </c>
      <c r="K19" s="491">
        <v>37.37</v>
      </c>
      <c r="L19" s="490">
        <v>33600</v>
      </c>
      <c r="M19" s="558">
        <v>1255632</v>
      </c>
      <c r="N19" s="492"/>
      <c r="O19" s="492"/>
      <c r="P19" s="492"/>
      <c r="Q19" s="492"/>
      <c r="R19" s="492"/>
      <c r="S19" s="492"/>
      <c r="T19" s="493">
        <v>1121711</v>
      </c>
      <c r="U19" s="494">
        <v>44712</v>
      </c>
      <c r="V19" s="495">
        <v>309</v>
      </c>
      <c r="W19" s="496">
        <v>43873</v>
      </c>
      <c r="X19" s="495" t="s">
        <v>113</v>
      </c>
      <c r="Y19" s="496">
        <v>43878</v>
      </c>
      <c r="Z19" s="495"/>
      <c r="AA19" s="495"/>
      <c r="AB19" s="497">
        <v>0</v>
      </c>
      <c r="AC19" s="497">
        <v>0</v>
      </c>
      <c r="AD19" s="498"/>
      <c r="AE19" s="498"/>
      <c r="AF19" s="498">
        <v>2520</v>
      </c>
      <c r="AG19" s="498">
        <v>83795.85</v>
      </c>
      <c r="AH19" s="498"/>
      <c r="AI19" s="498"/>
      <c r="AJ19" s="499">
        <f t="shared" si="0"/>
        <v>2520</v>
      </c>
      <c r="AK19" s="500">
        <f t="shared" si="0"/>
        <v>83795.85</v>
      </c>
      <c r="AL19" s="507">
        <f t="shared" si="1"/>
        <v>0</v>
      </c>
      <c r="AM19" s="500">
        <f t="shared" si="2"/>
        <v>83795.85</v>
      </c>
      <c r="AN19" s="508">
        <v>2520</v>
      </c>
      <c r="AO19" s="509">
        <v>83795.85000107999</v>
      </c>
      <c r="AP19" s="500"/>
      <c r="AQ19" s="500"/>
      <c r="AR19" s="500">
        <v>33.252321429</v>
      </c>
      <c r="AS19" s="501">
        <f t="shared" si="3"/>
        <v>0</v>
      </c>
      <c r="AT19" s="512">
        <f>SUM(AV19:BA19)</f>
        <v>2520</v>
      </c>
      <c r="AU19" s="500">
        <f t="shared" si="4"/>
        <v>83795.85000107999</v>
      </c>
      <c r="AV19" s="515">
        <v>2520</v>
      </c>
      <c r="AW19" s="510"/>
      <c r="AX19" s="510"/>
      <c r="AY19" s="510"/>
      <c r="AZ19" s="510"/>
      <c r="BA19" s="510"/>
      <c r="BB19" s="502">
        <f t="shared" si="5"/>
        <v>2520</v>
      </c>
      <c r="BC19" s="502">
        <f t="shared" si="6"/>
        <v>0</v>
      </c>
    </row>
    <row r="20" spans="2:55" s="484" customFormat="1" ht="15.75">
      <c r="B20" s="485"/>
      <c r="C20" s="486" t="s">
        <v>44</v>
      </c>
      <c r="D20" s="487" t="s">
        <v>129</v>
      </c>
      <c r="E20" s="488" t="s">
        <v>111</v>
      </c>
      <c r="F20" s="489" t="s">
        <v>112</v>
      </c>
      <c r="G20" s="490" t="s">
        <v>47</v>
      </c>
      <c r="H20" s="490" t="s">
        <v>47</v>
      </c>
      <c r="I20" s="491"/>
      <c r="J20" s="491"/>
      <c r="K20" s="491"/>
      <c r="L20" s="490"/>
      <c r="M20" s="558"/>
      <c r="N20" s="492"/>
      <c r="O20" s="492"/>
      <c r="P20" s="492"/>
      <c r="Q20" s="492"/>
      <c r="R20" s="492"/>
      <c r="S20" s="492"/>
      <c r="T20" s="493">
        <v>1121711</v>
      </c>
      <c r="U20" s="494">
        <v>44712</v>
      </c>
      <c r="V20" s="481">
        <v>816</v>
      </c>
      <c r="W20" s="482">
        <v>43928</v>
      </c>
      <c r="X20" s="481" t="s">
        <v>130</v>
      </c>
      <c r="Y20" s="482">
        <v>43934</v>
      </c>
      <c r="Z20" s="495"/>
      <c r="AA20" s="495"/>
      <c r="AB20" s="497">
        <v>0</v>
      </c>
      <c r="AC20" s="497">
        <v>0</v>
      </c>
      <c r="AD20" s="498"/>
      <c r="AE20" s="498"/>
      <c r="AF20" s="498">
        <v>2912</v>
      </c>
      <c r="AG20" s="498">
        <v>95583.8</v>
      </c>
      <c r="AH20" s="498"/>
      <c r="AI20" s="498"/>
      <c r="AJ20" s="499">
        <f>AD20+AF20+AH20</f>
        <v>2912</v>
      </c>
      <c r="AK20" s="500">
        <f>AE20+AG20+AI20</f>
        <v>95583.8</v>
      </c>
      <c r="AL20" s="507">
        <f t="shared" si="1"/>
        <v>0</v>
      </c>
      <c r="AM20" s="500">
        <f t="shared" si="2"/>
        <v>95583.8</v>
      </c>
      <c r="AN20" s="508">
        <v>0</v>
      </c>
      <c r="AO20" s="509">
        <v>0</v>
      </c>
      <c r="AP20" s="500">
        <v>2912</v>
      </c>
      <c r="AQ20" s="500"/>
      <c r="AR20" s="500">
        <v>32.824107142857144</v>
      </c>
      <c r="AS20" s="501">
        <f t="shared" si="3"/>
        <v>0</v>
      </c>
      <c r="AT20" s="512">
        <f>SUM(AV20:BA20)</f>
        <v>2912</v>
      </c>
      <c r="AU20" s="500">
        <f t="shared" si="4"/>
        <v>95583.8</v>
      </c>
      <c r="AV20" s="515">
        <v>2912</v>
      </c>
      <c r="AW20" s="510"/>
      <c r="AX20" s="510"/>
      <c r="AY20" s="510"/>
      <c r="AZ20" s="510"/>
      <c r="BA20" s="510"/>
      <c r="BB20" s="502"/>
      <c r="BC20" s="502"/>
    </row>
    <row r="21" spans="2:55" s="144" customFormat="1" ht="15.75">
      <c r="B21" s="365">
        <v>3</v>
      </c>
      <c r="C21" s="131" t="s">
        <v>44</v>
      </c>
      <c r="D21" s="145" t="s">
        <v>75</v>
      </c>
      <c r="E21" s="470" t="s">
        <v>69</v>
      </c>
      <c r="F21" s="471" t="s">
        <v>104</v>
      </c>
      <c r="G21" s="134" t="s">
        <v>47</v>
      </c>
      <c r="H21" s="134" t="s">
        <v>47</v>
      </c>
      <c r="I21" s="561">
        <v>84</v>
      </c>
      <c r="J21" s="561">
        <v>895</v>
      </c>
      <c r="K21" s="559">
        <v>249.07</v>
      </c>
      <c r="L21" s="562">
        <f>I21*J21</f>
        <v>75180</v>
      </c>
      <c r="M21" s="559">
        <f>K21*L21</f>
        <v>18725082.599999998</v>
      </c>
      <c r="N21" s="135"/>
      <c r="O21" s="135"/>
      <c r="P21" s="135"/>
      <c r="Q21" s="135"/>
      <c r="R21" s="135"/>
      <c r="S21" s="135"/>
      <c r="T21" s="132">
        <v>3098197</v>
      </c>
      <c r="U21" s="136">
        <v>44104</v>
      </c>
      <c r="V21" s="137">
        <v>1571</v>
      </c>
      <c r="W21" s="138">
        <v>43654</v>
      </c>
      <c r="X21" s="137" t="s">
        <v>76</v>
      </c>
      <c r="Y21" s="138">
        <v>43668</v>
      </c>
      <c r="Z21" s="137"/>
      <c r="AA21" s="137"/>
      <c r="AB21" s="139">
        <v>1064</v>
      </c>
      <c r="AC21" s="139">
        <v>33679.779999544</v>
      </c>
      <c r="AD21" s="140"/>
      <c r="AE21" s="140"/>
      <c r="AF21" s="140"/>
      <c r="AG21" s="140"/>
      <c r="AH21" s="140"/>
      <c r="AI21" s="140"/>
      <c r="AJ21" s="141">
        <f t="shared" si="0"/>
        <v>0</v>
      </c>
      <c r="AK21" s="178">
        <f t="shared" si="0"/>
        <v>0</v>
      </c>
      <c r="AL21" s="141">
        <f t="shared" si="1"/>
        <v>1064</v>
      </c>
      <c r="AM21" s="142">
        <f t="shared" si="2"/>
        <v>18612.509999748</v>
      </c>
      <c r="AN21" s="179">
        <v>476</v>
      </c>
      <c r="AO21" s="142">
        <v>15067.269999796</v>
      </c>
      <c r="AP21" s="143"/>
      <c r="AQ21" s="139">
        <v>476</v>
      </c>
      <c r="AR21" s="139">
        <v>31.653928571</v>
      </c>
      <c r="AS21" s="142">
        <f t="shared" si="3"/>
        <v>15067.269999796</v>
      </c>
      <c r="AT21" s="141">
        <f>SUM(AV21:BA21)</f>
        <v>0</v>
      </c>
      <c r="AU21" s="142">
        <f t="shared" si="4"/>
        <v>0</v>
      </c>
      <c r="AV21" s="591">
        <f>1064-1064</f>
        <v>0</v>
      </c>
      <c r="AW21" s="131"/>
      <c r="AX21" s="590">
        <f>1064-588-476</f>
        <v>0</v>
      </c>
      <c r="AY21" s="131"/>
      <c r="AZ21" s="131"/>
      <c r="BA21" s="131"/>
      <c r="BB21" s="78">
        <f t="shared" si="5"/>
        <v>0</v>
      </c>
      <c r="BC21" s="79">
        <f t="shared" si="6"/>
        <v>0</v>
      </c>
    </row>
    <row r="22" spans="2:55" s="144" customFormat="1" ht="15.75">
      <c r="B22" s="365">
        <v>4</v>
      </c>
      <c r="C22" s="131" t="s">
        <v>44</v>
      </c>
      <c r="D22" s="145" t="s">
        <v>95</v>
      </c>
      <c r="E22" s="470" t="s">
        <v>69</v>
      </c>
      <c r="F22" s="471" t="s">
        <v>104</v>
      </c>
      <c r="G22" s="134" t="s">
        <v>47</v>
      </c>
      <c r="H22" s="134" t="s">
        <v>47</v>
      </c>
      <c r="I22" s="133"/>
      <c r="J22" s="133"/>
      <c r="K22" s="133"/>
      <c r="L22" s="134"/>
      <c r="M22" s="559"/>
      <c r="N22" s="135"/>
      <c r="O22" s="135"/>
      <c r="P22" s="135"/>
      <c r="Q22" s="135"/>
      <c r="R22" s="135"/>
      <c r="S22" s="135"/>
      <c r="T22" s="132">
        <v>3106643</v>
      </c>
      <c r="U22" s="136">
        <v>44377</v>
      </c>
      <c r="V22" s="137">
        <v>79</v>
      </c>
      <c r="W22" s="138">
        <v>43845</v>
      </c>
      <c r="X22" s="137" t="s">
        <v>96</v>
      </c>
      <c r="Y22" s="138">
        <v>43857</v>
      </c>
      <c r="Z22" s="137"/>
      <c r="AA22" s="137"/>
      <c r="AB22" s="139">
        <v>0</v>
      </c>
      <c r="AC22" s="139">
        <v>0</v>
      </c>
      <c r="AD22" s="140">
        <v>588</v>
      </c>
      <c r="AE22" s="140">
        <v>18847.29</v>
      </c>
      <c r="AF22" s="140"/>
      <c r="AG22" s="140"/>
      <c r="AH22" s="140"/>
      <c r="AI22" s="140"/>
      <c r="AJ22" s="141">
        <f t="shared" si="0"/>
        <v>588</v>
      </c>
      <c r="AK22" s="178">
        <f t="shared" si="0"/>
        <v>18847.29</v>
      </c>
      <c r="AL22" s="141">
        <f t="shared" si="1"/>
        <v>308</v>
      </c>
      <c r="AM22" s="142">
        <f t="shared" si="2"/>
        <v>-9872.390000088</v>
      </c>
      <c r="AN22" s="179">
        <v>588</v>
      </c>
      <c r="AO22" s="142">
        <v>18847.290000168</v>
      </c>
      <c r="AP22" s="143"/>
      <c r="AQ22" s="139">
        <v>308</v>
      </c>
      <c r="AR22" s="139">
        <v>32.053214286</v>
      </c>
      <c r="AS22" s="142">
        <f t="shared" si="3"/>
        <v>9872.390000088</v>
      </c>
      <c r="AT22" s="141">
        <f aca="true" t="shared" si="7" ref="AT22:AT34">SUM(AV22:BA22)</f>
        <v>280</v>
      </c>
      <c r="AU22" s="142">
        <f t="shared" si="4"/>
        <v>8974.90000008</v>
      </c>
      <c r="AV22" s="591">
        <f>588-588</f>
        <v>0</v>
      </c>
      <c r="AW22" s="131"/>
      <c r="AX22" s="590">
        <f>588-308</f>
        <v>280</v>
      </c>
      <c r="AY22" s="131"/>
      <c r="AZ22" s="131"/>
      <c r="BA22" s="131"/>
      <c r="BB22" s="78">
        <f t="shared" si="5"/>
        <v>280</v>
      </c>
      <c r="BC22" s="79">
        <f t="shared" si="6"/>
        <v>0</v>
      </c>
    </row>
    <row r="23" spans="2:55" s="520" customFormat="1" ht="15.75" hidden="1">
      <c r="B23" s="521"/>
      <c r="C23" s="522"/>
      <c r="D23" s="523" t="s">
        <v>117</v>
      </c>
      <c r="E23" s="540" t="s">
        <v>39</v>
      </c>
      <c r="F23" s="524"/>
      <c r="G23" s="525" t="s">
        <v>118</v>
      </c>
      <c r="H23" s="525" t="s">
        <v>118</v>
      </c>
      <c r="I23" s="526">
        <v>504</v>
      </c>
      <c r="J23" s="526">
        <v>895</v>
      </c>
      <c r="K23" s="526">
        <v>2.79</v>
      </c>
      <c r="L23" s="525">
        <v>451080</v>
      </c>
      <c r="M23" s="560">
        <v>1258513.2</v>
      </c>
      <c r="N23" s="527"/>
      <c r="O23" s="527"/>
      <c r="P23" s="527"/>
      <c r="Q23" s="527"/>
      <c r="R23" s="527"/>
      <c r="S23" s="527"/>
      <c r="T23" s="528"/>
      <c r="U23" s="529"/>
      <c r="V23" s="530"/>
      <c r="W23" s="531"/>
      <c r="X23" s="530"/>
      <c r="Y23" s="531"/>
      <c r="Z23" s="530"/>
      <c r="AA23" s="530"/>
      <c r="AB23" s="532">
        <v>0</v>
      </c>
      <c r="AC23" s="532">
        <v>0</v>
      </c>
      <c r="AD23" s="533"/>
      <c r="AE23" s="533"/>
      <c r="AF23" s="533"/>
      <c r="AG23" s="533"/>
      <c r="AH23" s="533"/>
      <c r="AI23" s="533"/>
      <c r="AJ23" s="534">
        <v>0</v>
      </c>
      <c r="AK23" s="535">
        <v>0</v>
      </c>
      <c r="AL23" s="534">
        <v>0</v>
      </c>
      <c r="AM23" s="536">
        <v>0</v>
      </c>
      <c r="AN23" s="537">
        <v>0</v>
      </c>
      <c r="AO23" s="536">
        <v>0</v>
      </c>
      <c r="AP23" s="538"/>
      <c r="AQ23" s="532"/>
      <c r="AR23" s="532">
        <v>0</v>
      </c>
      <c r="AS23" s="536">
        <v>0</v>
      </c>
      <c r="AT23" s="534">
        <v>0</v>
      </c>
      <c r="AU23" s="536">
        <v>0</v>
      </c>
      <c r="AV23" s="592">
        <v>0</v>
      </c>
      <c r="AW23" s="522"/>
      <c r="AX23" s="522"/>
      <c r="AY23" s="522"/>
      <c r="AZ23" s="522"/>
      <c r="BA23" s="522"/>
      <c r="BB23" s="78">
        <f t="shared" si="5"/>
        <v>0</v>
      </c>
      <c r="BC23" s="79">
        <f t="shared" si="6"/>
        <v>0</v>
      </c>
    </row>
    <row r="24" spans="2:55" s="563" customFormat="1" ht="15.75">
      <c r="B24" s="564"/>
      <c r="C24" s="565" t="s">
        <v>44</v>
      </c>
      <c r="D24" s="566" t="s">
        <v>120</v>
      </c>
      <c r="E24" s="567" t="s">
        <v>42</v>
      </c>
      <c r="F24" s="568" t="s">
        <v>121</v>
      </c>
      <c r="G24" s="569" t="s">
        <v>122</v>
      </c>
      <c r="H24" s="569" t="s">
        <v>122</v>
      </c>
      <c r="I24" s="570"/>
      <c r="J24" s="570"/>
      <c r="K24" s="570"/>
      <c r="L24" s="569"/>
      <c r="M24" s="571"/>
      <c r="N24" s="572"/>
      <c r="O24" s="572"/>
      <c r="P24" s="572"/>
      <c r="Q24" s="572"/>
      <c r="R24" s="572"/>
      <c r="S24" s="572"/>
      <c r="T24" s="573" t="s">
        <v>123</v>
      </c>
      <c r="U24" s="574">
        <v>45017</v>
      </c>
      <c r="V24" s="575">
        <v>609</v>
      </c>
      <c r="W24" s="576">
        <v>43892</v>
      </c>
      <c r="X24" s="575" t="s">
        <v>124</v>
      </c>
      <c r="Y24" s="576">
        <v>43906</v>
      </c>
      <c r="Z24" s="575"/>
      <c r="AA24" s="575"/>
      <c r="AB24" s="577">
        <v>0</v>
      </c>
      <c r="AC24" s="577">
        <v>0</v>
      </c>
      <c r="AD24" s="578"/>
      <c r="AE24" s="578"/>
      <c r="AF24" s="578">
        <v>96</v>
      </c>
      <c r="AG24" s="578">
        <v>310796.16</v>
      </c>
      <c r="AH24" s="578"/>
      <c r="AI24" s="578"/>
      <c r="AJ24" s="579">
        <f>AD24+AF24+AH24</f>
        <v>96</v>
      </c>
      <c r="AK24" s="580">
        <f>AE24+AG24+AI24</f>
        <v>310796.16</v>
      </c>
      <c r="AL24" s="579">
        <f>AB24+AJ24-AT24</f>
        <v>0</v>
      </c>
      <c r="AM24" s="581">
        <f>AC24+AK24-AU24</f>
        <v>0</v>
      </c>
      <c r="AN24" s="582">
        <v>96</v>
      </c>
      <c r="AO24" s="581">
        <v>0</v>
      </c>
      <c r="AP24" s="583"/>
      <c r="AQ24" s="577"/>
      <c r="AR24" s="577">
        <v>3237.46</v>
      </c>
      <c r="AS24" s="581">
        <v>0</v>
      </c>
      <c r="AT24" s="579">
        <f>SUM(AV24:BA24)</f>
        <v>96</v>
      </c>
      <c r="AU24" s="581">
        <f>AR24*AT24</f>
        <v>310796.16000000003</v>
      </c>
      <c r="AV24" s="585">
        <v>96</v>
      </c>
      <c r="AW24" s="565"/>
      <c r="AX24" s="565"/>
      <c r="AY24" s="565"/>
      <c r="AZ24" s="565"/>
      <c r="BA24" s="565"/>
      <c r="BB24" s="78">
        <f t="shared" si="5"/>
        <v>96</v>
      </c>
      <c r="BC24" s="79">
        <f t="shared" si="6"/>
        <v>0</v>
      </c>
    </row>
    <row r="25" spans="2:55" s="228" customFormat="1" ht="15.75">
      <c r="B25" s="584">
        <v>5</v>
      </c>
      <c r="C25" s="36" t="s">
        <v>44</v>
      </c>
      <c r="D25" s="65" t="s">
        <v>41</v>
      </c>
      <c r="E25" s="66" t="s">
        <v>42</v>
      </c>
      <c r="F25" s="30" t="s">
        <v>103</v>
      </c>
      <c r="G25" s="67" t="s">
        <v>43</v>
      </c>
      <c r="H25" s="67" t="s">
        <v>43</v>
      </c>
      <c r="I25" s="541">
        <v>24</v>
      </c>
      <c r="J25" s="541">
        <v>152</v>
      </c>
      <c r="K25" s="542">
        <v>2509.02</v>
      </c>
      <c r="L25" s="543">
        <v>3648</v>
      </c>
      <c r="M25" s="542">
        <v>9152904.96</v>
      </c>
      <c r="N25" s="68"/>
      <c r="O25" s="69"/>
      <c r="P25" s="68"/>
      <c r="Q25" s="69"/>
      <c r="R25" s="68"/>
      <c r="S25" s="69"/>
      <c r="T25" s="64" t="s">
        <v>45</v>
      </c>
      <c r="U25" s="70">
        <v>44682</v>
      </c>
      <c r="V25" s="71">
        <v>1865</v>
      </c>
      <c r="W25" s="72">
        <v>43390</v>
      </c>
      <c r="X25" s="71" t="s">
        <v>46</v>
      </c>
      <c r="Y25" s="73">
        <v>43395</v>
      </c>
      <c r="Z25" s="71"/>
      <c r="AA25" s="73"/>
      <c r="AB25" s="76">
        <v>3</v>
      </c>
      <c r="AC25" s="74">
        <v>8009.88</v>
      </c>
      <c r="AD25" s="75"/>
      <c r="AE25" s="74"/>
      <c r="AF25" s="75"/>
      <c r="AG25" s="74"/>
      <c r="AH25" s="75"/>
      <c r="AI25" s="74"/>
      <c r="AJ25" s="76">
        <f t="shared" si="0"/>
        <v>0</v>
      </c>
      <c r="AK25" s="180">
        <f t="shared" si="0"/>
        <v>0</v>
      </c>
      <c r="AL25" s="76">
        <f aca="true" t="shared" si="8" ref="AL25:AM37">AB25+AJ25-AT25</f>
        <v>3</v>
      </c>
      <c r="AM25" s="74">
        <f>AC25+AK25-AU25</f>
        <v>8009.88</v>
      </c>
      <c r="AN25" s="181">
        <v>0</v>
      </c>
      <c r="AO25" s="74">
        <v>0</v>
      </c>
      <c r="AP25" s="77"/>
      <c r="AQ25" s="76"/>
      <c r="AR25" s="74">
        <v>2669.96</v>
      </c>
      <c r="AS25" s="74">
        <f aca="true" t="shared" si="9" ref="AS25:AS37">AQ25*AR25</f>
        <v>0</v>
      </c>
      <c r="AT25" s="76">
        <f t="shared" si="7"/>
        <v>0</v>
      </c>
      <c r="AU25" s="74">
        <f aca="true" t="shared" si="10" ref="AU25:AU34">AR25*AT25</f>
        <v>0</v>
      </c>
      <c r="AV25" s="593">
        <f>16-12-4</f>
        <v>0</v>
      </c>
      <c r="AW25" s="76">
        <v>0</v>
      </c>
      <c r="AX25" s="76">
        <f>4-1-3</f>
        <v>0</v>
      </c>
      <c r="AY25" s="76"/>
      <c r="AZ25" s="76"/>
      <c r="BA25" s="76"/>
      <c r="BB25" s="78">
        <f t="shared" si="5"/>
        <v>0</v>
      </c>
      <c r="BC25" s="79">
        <f t="shared" si="6"/>
        <v>0</v>
      </c>
    </row>
    <row r="26" spans="2:55" s="229" customFormat="1" ht="15.75">
      <c r="B26" s="431">
        <v>6</v>
      </c>
      <c r="C26" s="80" t="s">
        <v>44</v>
      </c>
      <c r="D26" s="81" t="s">
        <v>68</v>
      </c>
      <c r="E26" s="82" t="s">
        <v>69</v>
      </c>
      <c r="F26" s="432" t="s">
        <v>104</v>
      </c>
      <c r="G26" s="83" t="s">
        <v>47</v>
      </c>
      <c r="H26" s="83" t="s">
        <v>47</v>
      </c>
      <c r="I26" s="544"/>
      <c r="J26" s="544"/>
      <c r="K26" s="545"/>
      <c r="L26" s="546"/>
      <c r="M26" s="545"/>
      <c r="N26" s="84"/>
      <c r="O26" s="87"/>
      <c r="P26" s="84"/>
      <c r="Q26" s="87"/>
      <c r="R26" s="84"/>
      <c r="S26" s="87"/>
      <c r="T26" s="80">
        <v>3093642</v>
      </c>
      <c r="U26" s="88">
        <v>44196</v>
      </c>
      <c r="V26" s="89">
        <v>1024</v>
      </c>
      <c r="W26" s="90">
        <v>43589</v>
      </c>
      <c r="X26" s="89" t="s">
        <v>70</v>
      </c>
      <c r="Y26" s="91">
        <v>43598</v>
      </c>
      <c r="Z26" s="89"/>
      <c r="AA26" s="91"/>
      <c r="AB26" s="92">
        <v>84</v>
      </c>
      <c r="AC26" s="93">
        <v>1632.630000036</v>
      </c>
      <c r="AD26" s="94"/>
      <c r="AE26" s="93"/>
      <c r="AF26" s="92"/>
      <c r="AG26" s="93"/>
      <c r="AH26" s="94"/>
      <c r="AI26" s="93"/>
      <c r="AJ26" s="92">
        <f t="shared" si="0"/>
        <v>0</v>
      </c>
      <c r="AK26" s="182">
        <f aca="true" t="shared" si="11" ref="AK26:AK34">AI26+AG26+AE26</f>
        <v>0</v>
      </c>
      <c r="AL26" s="92">
        <f t="shared" si="8"/>
        <v>84</v>
      </c>
      <c r="AM26" s="93">
        <f t="shared" si="8"/>
        <v>1632.630000036</v>
      </c>
      <c r="AN26" s="183">
        <v>0</v>
      </c>
      <c r="AO26" s="93">
        <v>0</v>
      </c>
      <c r="AP26" s="95"/>
      <c r="AQ26" s="92"/>
      <c r="AR26" s="93">
        <v>19.436071429</v>
      </c>
      <c r="AS26" s="93">
        <f aca="true" t="shared" si="12" ref="AS26:AS31">AR26*AQ26</f>
        <v>0</v>
      </c>
      <c r="AT26" s="92">
        <f t="shared" si="7"/>
        <v>0</v>
      </c>
      <c r="AU26" s="93">
        <f t="shared" si="10"/>
        <v>0</v>
      </c>
      <c r="AV26" s="433">
        <f>2156-1008-1148</f>
        <v>0</v>
      </c>
      <c r="AW26" s="92"/>
      <c r="AX26" s="92">
        <f>1008-168-336-364+1148-252-476-476-84</f>
        <v>0</v>
      </c>
      <c r="AY26" s="92"/>
      <c r="AZ26" s="92"/>
      <c r="BA26" s="92"/>
      <c r="BB26" s="96">
        <f t="shared" si="5"/>
        <v>0</v>
      </c>
      <c r="BC26" s="79">
        <f t="shared" si="6"/>
        <v>0</v>
      </c>
    </row>
    <row r="27" spans="2:55" s="469" customFormat="1" ht="15.75">
      <c r="B27" s="409">
        <v>7</v>
      </c>
      <c r="C27" s="410" t="s">
        <v>44</v>
      </c>
      <c r="D27" s="411" t="s">
        <v>83</v>
      </c>
      <c r="E27" s="468" t="s">
        <v>69</v>
      </c>
      <c r="F27" s="412" t="s">
        <v>104</v>
      </c>
      <c r="G27" s="413" t="s">
        <v>47</v>
      </c>
      <c r="H27" s="413" t="s">
        <v>47</v>
      </c>
      <c r="I27" s="547"/>
      <c r="J27" s="547"/>
      <c r="K27" s="548"/>
      <c r="L27" s="549"/>
      <c r="M27" s="548"/>
      <c r="N27" s="414"/>
      <c r="O27" s="417"/>
      <c r="P27" s="414"/>
      <c r="Q27" s="417"/>
      <c r="R27" s="414"/>
      <c r="S27" s="417"/>
      <c r="T27" s="410">
        <v>3100242</v>
      </c>
      <c r="U27" s="418">
        <v>44316</v>
      </c>
      <c r="V27" s="419">
        <v>1569</v>
      </c>
      <c r="W27" s="420">
        <v>43654</v>
      </c>
      <c r="X27" s="419" t="s">
        <v>73</v>
      </c>
      <c r="Y27" s="421">
        <v>43668</v>
      </c>
      <c r="Z27" s="419"/>
      <c r="AA27" s="421"/>
      <c r="AB27" s="422">
        <v>308</v>
      </c>
      <c r="AC27" s="423">
        <v>28643.340000044</v>
      </c>
      <c r="AD27" s="424"/>
      <c r="AE27" s="423"/>
      <c r="AF27" s="422"/>
      <c r="AG27" s="423"/>
      <c r="AH27" s="424"/>
      <c r="AI27" s="423"/>
      <c r="AJ27" s="422">
        <f t="shared" si="0"/>
        <v>0</v>
      </c>
      <c r="AK27" s="425">
        <f t="shared" si="11"/>
        <v>0</v>
      </c>
      <c r="AL27" s="422">
        <f t="shared" si="8"/>
        <v>308</v>
      </c>
      <c r="AM27" s="423">
        <f t="shared" si="8"/>
        <v>28643.340000044</v>
      </c>
      <c r="AN27" s="426">
        <v>0</v>
      </c>
      <c r="AO27" s="423">
        <v>0</v>
      </c>
      <c r="AP27" s="427"/>
      <c r="AQ27" s="422"/>
      <c r="AR27" s="423">
        <v>92.997857143</v>
      </c>
      <c r="AS27" s="423">
        <f t="shared" si="12"/>
        <v>0</v>
      </c>
      <c r="AT27" s="422">
        <f t="shared" si="7"/>
        <v>0</v>
      </c>
      <c r="AU27" s="423">
        <f t="shared" si="10"/>
        <v>0</v>
      </c>
      <c r="AV27" s="428">
        <v>0</v>
      </c>
      <c r="AW27" s="422"/>
      <c r="AX27" s="422">
        <f>308-308</f>
        <v>0</v>
      </c>
      <c r="AY27" s="422"/>
      <c r="AZ27" s="422"/>
      <c r="BA27" s="422"/>
      <c r="BB27" s="429">
        <f t="shared" si="5"/>
        <v>0</v>
      </c>
      <c r="BC27" s="429">
        <f t="shared" si="6"/>
        <v>0</v>
      </c>
    </row>
    <row r="28" spans="2:55" s="469" customFormat="1" ht="15.75">
      <c r="B28" s="409">
        <v>8</v>
      </c>
      <c r="C28" s="410" t="s">
        <v>44</v>
      </c>
      <c r="D28" s="411" t="s">
        <v>83</v>
      </c>
      <c r="E28" s="468" t="s">
        <v>69</v>
      </c>
      <c r="F28" s="412" t="s">
        <v>104</v>
      </c>
      <c r="G28" s="413" t="s">
        <v>47</v>
      </c>
      <c r="H28" s="413" t="s">
        <v>47</v>
      </c>
      <c r="I28" s="547"/>
      <c r="J28" s="547"/>
      <c r="K28" s="548"/>
      <c r="L28" s="549"/>
      <c r="M28" s="548"/>
      <c r="N28" s="414"/>
      <c r="O28" s="417"/>
      <c r="P28" s="414"/>
      <c r="Q28" s="417"/>
      <c r="R28" s="414"/>
      <c r="S28" s="417"/>
      <c r="T28" s="410">
        <v>3100059</v>
      </c>
      <c r="U28" s="418">
        <v>44316</v>
      </c>
      <c r="V28" s="419">
        <v>1613</v>
      </c>
      <c r="W28" s="420">
        <v>43658</v>
      </c>
      <c r="X28" s="419" t="s">
        <v>74</v>
      </c>
      <c r="Y28" s="421">
        <v>43668</v>
      </c>
      <c r="Z28" s="419"/>
      <c r="AA28" s="421"/>
      <c r="AB28" s="422">
        <v>2492</v>
      </c>
      <c r="AC28" s="423">
        <v>237309.59999857598</v>
      </c>
      <c r="AD28" s="424"/>
      <c r="AE28" s="423"/>
      <c r="AF28" s="422"/>
      <c r="AG28" s="423"/>
      <c r="AH28" s="424"/>
      <c r="AI28" s="423"/>
      <c r="AJ28" s="422">
        <f t="shared" si="0"/>
        <v>0</v>
      </c>
      <c r="AK28" s="425">
        <f t="shared" si="11"/>
        <v>0</v>
      </c>
      <c r="AL28" s="422">
        <f t="shared" si="8"/>
        <v>1744</v>
      </c>
      <c r="AM28" s="423">
        <f t="shared" si="8"/>
        <v>166078.628570432</v>
      </c>
      <c r="AN28" s="426">
        <v>2128</v>
      </c>
      <c r="AO28" s="423">
        <v>205312.799998768</v>
      </c>
      <c r="AP28" s="427"/>
      <c r="AQ28" s="422">
        <v>1380</v>
      </c>
      <c r="AR28" s="423">
        <v>95.228571428</v>
      </c>
      <c r="AS28" s="423">
        <f t="shared" si="12"/>
        <v>131415.42857063998</v>
      </c>
      <c r="AT28" s="422">
        <f t="shared" si="7"/>
        <v>748</v>
      </c>
      <c r="AU28" s="423">
        <f t="shared" si="10"/>
        <v>71230.971428144</v>
      </c>
      <c r="AV28" s="428">
        <f>2520-112-756-1652</f>
        <v>0</v>
      </c>
      <c r="AW28" s="422"/>
      <c r="AX28" s="428">
        <f>112+1652-252-1380</f>
        <v>132</v>
      </c>
      <c r="AY28" s="422"/>
      <c r="AZ28" s="422">
        <f>756-28-56-28-28</f>
        <v>616</v>
      </c>
      <c r="BA28" s="422"/>
      <c r="BB28" s="429">
        <f t="shared" si="5"/>
        <v>748</v>
      </c>
      <c r="BC28" s="429">
        <f t="shared" si="6"/>
        <v>0</v>
      </c>
    </row>
    <row r="29" spans="2:55" s="469" customFormat="1" ht="15.75">
      <c r="B29" s="409">
        <v>9</v>
      </c>
      <c r="C29" s="410" t="s">
        <v>44</v>
      </c>
      <c r="D29" s="411" t="s">
        <v>83</v>
      </c>
      <c r="E29" s="468" t="s">
        <v>69</v>
      </c>
      <c r="F29" s="412" t="s">
        <v>104</v>
      </c>
      <c r="G29" s="413" t="s">
        <v>47</v>
      </c>
      <c r="H29" s="413" t="s">
        <v>47</v>
      </c>
      <c r="I29" s="547"/>
      <c r="J29" s="547"/>
      <c r="K29" s="548"/>
      <c r="L29" s="549"/>
      <c r="M29" s="548"/>
      <c r="N29" s="414"/>
      <c r="O29" s="417"/>
      <c r="P29" s="414"/>
      <c r="Q29" s="417"/>
      <c r="R29" s="414"/>
      <c r="S29" s="417"/>
      <c r="T29" s="410">
        <v>3100243</v>
      </c>
      <c r="U29" s="418">
        <v>44347</v>
      </c>
      <c r="V29" s="419">
        <v>1990</v>
      </c>
      <c r="W29" s="420">
        <v>43738</v>
      </c>
      <c r="X29" s="419" t="s">
        <v>84</v>
      </c>
      <c r="Y29" s="421">
        <v>43745</v>
      </c>
      <c r="Z29" s="419"/>
      <c r="AA29" s="421"/>
      <c r="AB29" s="422">
        <v>84</v>
      </c>
      <c r="AC29" s="423">
        <v>7811.82</v>
      </c>
      <c r="AD29" s="424"/>
      <c r="AE29" s="423"/>
      <c r="AF29" s="422"/>
      <c r="AG29" s="423"/>
      <c r="AH29" s="424"/>
      <c r="AI29" s="423"/>
      <c r="AJ29" s="422">
        <f t="shared" si="0"/>
        <v>0</v>
      </c>
      <c r="AK29" s="425">
        <f>AI29+AG29+AE29</f>
        <v>0</v>
      </c>
      <c r="AL29" s="422">
        <f t="shared" si="8"/>
        <v>0</v>
      </c>
      <c r="AM29" s="423">
        <f t="shared" si="8"/>
        <v>0</v>
      </c>
      <c r="AN29" s="426">
        <v>84</v>
      </c>
      <c r="AO29" s="423">
        <v>7811.82</v>
      </c>
      <c r="AP29" s="427"/>
      <c r="AQ29" s="422"/>
      <c r="AR29" s="423">
        <v>92.99785714285714</v>
      </c>
      <c r="AS29" s="423">
        <f t="shared" si="12"/>
        <v>0</v>
      </c>
      <c r="AT29" s="422">
        <f t="shared" si="7"/>
        <v>84</v>
      </c>
      <c r="AU29" s="423">
        <f t="shared" si="10"/>
        <v>7811.82</v>
      </c>
      <c r="AV29" s="428">
        <f>84-84</f>
        <v>0</v>
      </c>
      <c r="AW29" s="422"/>
      <c r="AX29" s="428">
        <v>84</v>
      </c>
      <c r="AY29" s="422"/>
      <c r="AZ29" s="422"/>
      <c r="BA29" s="422"/>
      <c r="BB29" s="429">
        <f>AB29+AJ29-AL29</f>
        <v>84</v>
      </c>
      <c r="BC29" s="429">
        <f>BB29-AT29</f>
        <v>0</v>
      </c>
    </row>
    <row r="30" spans="2:55" s="469" customFormat="1" ht="15.75">
      <c r="B30" s="409">
        <v>10</v>
      </c>
      <c r="C30" s="410" t="s">
        <v>44</v>
      </c>
      <c r="D30" s="411" t="s">
        <v>83</v>
      </c>
      <c r="E30" s="468" t="s">
        <v>69</v>
      </c>
      <c r="F30" s="412" t="s">
        <v>104</v>
      </c>
      <c r="G30" s="413" t="s">
        <v>47</v>
      </c>
      <c r="H30" s="413" t="s">
        <v>47</v>
      </c>
      <c r="I30" s="547"/>
      <c r="J30" s="547"/>
      <c r="K30" s="548"/>
      <c r="L30" s="549"/>
      <c r="M30" s="548"/>
      <c r="N30" s="414"/>
      <c r="O30" s="417"/>
      <c r="P30" s="414"/>
      <c r="Q30" s="417"/>
      <c r="R30" s="414"/>
      <c r="S30" s="417"/>
      <c r="T30" s="410">
        <v>3105977</v>
      </c>
      <c r="U30" s="418">
        <v>44439</v>
      </c>
      <c r="V30" s="419">
        <v>79</v>
      </c>
      <c r="W30" s="420">
        <v>43845</v>
      </c>
      <c r="X30" s="419" t="s">
        <v>96</v>
      </c>
      <c r="Y30" s="421">
        <v>43857</v>
      </c>
      <c r="Z30" s="419"/>
      <c r="AA30" s="421"/>
      <c r="AB30" s="422">
        <v>0</v>
      </c>
      <c r="AC30" s="423">
        <v>0</v>
      </c>
      <c r="AD30" s="424">
        <v>28</v>
      </c>
      <c r="AE30" s="423">
        <v>2603.94</v>
      </c>
      <c r="AF30" s="422"/>
      <c r="AG30" s="423"/>
      <c r="AH30" s="424"/>
      <c r="AI30" s="423"/>
      <c r="AJ30" s="422">
        <f t="shared" si="0"/>
        <v>28</v>
      </c>
      <c r="AK30" s="425">
        <f>AI30+AG30+AE30</f>
        <v>2603.94</v>
      </c>
      <c r="AL30" s="422">
        <f t="shared" si="8"/>
        <v>0</v>
      </c>
      <c r="AM30" s="423">
        <f t="shared" si="8"/>
        <v>-3.999957698397338E-09</v>
      </c>
      <c r="AN30" s="426">
        <v>28</v>
      </c>
      <c r="AO30" s="423">
        <v>2603.940000004</v>
      </c>
      <c r="AP30" s="427"/>
      <c r="AQ30" s="422"/>
      <c r="AR30" s="423">
        <v>92.997857143</v>
      </c>
      <c r="AS30" s="423">
        <f t="shared" si="12"/>
        <v>0</v>
      </c>
      <c r="AT30" s="422">
        <f t="shared" si="7"/>
        <v>28</v>
      </c>
      <c r="AU30" s="423">
        <f>AR30*AT30</f>
        <v>2603.940000004</v>
      </c>
      <c r="AV30" s="428">
        <f>28-28</f>
        <v>0</v>
      </c>
      <c r="AW30" s="422"/>
      <c r="AX30" s="428">
        <f>28</f>
        <v>28</v>
      </c>
      <c r="AY30" s="422"/>
      <c r="AZ30" s="422"/>
      <c r="BA30" s="422"/>
      <c r="BB30" s="429">
        <f>AB30+AJ30-AL30</f>
        <v>28</v>
      </c>
      <c r="BC30" s="429">
        <f>BB30-AT30</f>
        <v>0</v>
      </c>
    </row>
    <row r="31" spans="2:55" s="430" customFormat="1" ht="15.75">
      <c r="B31" s="409">
        <v>11</v>
      </c>
      <c r="C31" s="410" t="s">
        <v>44</v>
      </c>
      <c r="D31" s="411" t="s">
        <v>83</v>
      </c>
      <c r="E31" s="412" t="s">
        <v>101</v>
      </c>
      <c r="F31" s="412" t="s">
        <v>104</v>
      </c>
      <c r="G31" s="413" t="s">
        <v>47</v>
      </c>
      <c r="H31" s="413" t="s">
        <v>47</v>
      </c>
      <c r="I31" s="547"/>
      <c r="J31" s="547"/>
      <c r="K31" s="548"/>
      <c r="L31" s="549"/>
      <c r="M31" s="548"/>
      <c r="N31" s="414"/>
      <c r="O31" s="417"/>
      <c r="P31" s="414"/>
      <c r="Q31" s="417"/>
      <c r="R31" s="414"/>
      <c r="S31" s="417"/>
      <c r="T31" s="410">
        <v>3105977</v>
      </c>
      <c r="U31" s="418">
        <v>44439</v>
      </c>
      <c r="V31" s="419">
        <v>280</v>
      </c>
      <c r="W31" s="420">
        <v>43868</v>
      </c>
      <c r="X31" s="419" t="s">
        <v>107</v>
      </c>
      <c r="Y31" s="421">
        <v>43878</v>
      </c>
      <c r="Z31" s="419"/>
      <c r="AA31" s="421"/>
      <c r="AB31" s="422">
        <v>0</v>
      </c>
      <c r="AC31" s="423">
        <v>0</v>
      </c>
      <c r="AD31" s="424"/>
      <c r="AE31" s="423"/>
      <c r="AF31" s="422">
        <v>1680</v>
      </c>
      <c r="AG31" s="423">
        <v>136944</v>
      </c>
      <c r="AH31" s="424"/>
      <c r="AI31" s="423"/>
      <c r="AJ31" s="422">
        <f t="shared" si="0"/>
        <v>1680</v>
      </c>
      <c r="AK31" s="425">
        <f>AI31+AG31+AE31</f>
        <v>136944</v>
      </c>
      <c r="AL31" s="422">
        <f>AB31+AJ31-AT31</f>
        <v>0</v>
      </c>
      <c r="AM31" s="423">
        <f>AC31+AK31-AU31</f>
        <v>0.0009648000122979283</v>
      </c>
      <c r="AN31" s="426">
        <v>1680</v>
      </c>
      <c r="AO31" s="423">
        <v>136943.9990352</v>
      </c>
      <c r="AP31" s="427"/>
      <c r="AQ31" s="422"/>
      <c r="AR31" s="423">
        <v>81.51428514</v>
      </c>
      <c r="AS31" s="423">
        <f t="shared" si="12"/>
        <v>0</v>
      </c>
      <c r="AT31" s="422">
        <f>SUM(AV31:BA31)</f>
        <v>1680</v>
      </c>
      <c r="AU31" s="423">
        <f>AR31*AT31</f>
        <v>136943.9990352</v>
      </c>
      <c r="AV31" s="428">
        <v>1680</v>
      </c>
      <c r="AW31" s="422"/>
      <c r="AX31" s="422"/>
      <c r="AY31" s="422"/>
      <c r="AZ31" s="422"/>
      <c r="BA31" s="422"/>
      <c r="BB31" s="429">
        <f>AB31+AJ31-AL31</f>
        <v>1680</v>
      </c>
      <c r="BC31" s="429">
        <f>BB31-AT31</f>
        <v>0</v>
      </c>
    </row>
    <row r="32" spans="2:55" s="230" customFormat="1" ht="15.75">
      <c r="B32" s="434">
        <v>12</v>
      </c>
      <c r="C32" s="98" t="s">
        <v>44</v>
      </c>
      <c r="D32" s="435" t="s">
        <v>48</v>
      </c>
      <c r="E32" s="436" t="s">
        <v>49</v>
      </c>
      <c r="F32" s="467" t="s">
        <v>105</v>
      </c>
      <c r="G32" s="99" t="s">
        <v>47</v>
      </c>
      <c r="H32" s="99" t="s">
        <v>47</v>
      </c>
      <c r="I32" s="550">
        <v>336</v>
      </c>
      <c r="J32" s="550">
        <v>152</v>
      </c>
      <c r="K32" s="551">
        <v>3.35</v>
      </c>
      <c r="L32" s="552">
        <v>51072</v>
      </c>
      <c r="M32" s="551">
        <f>K32*L32</f>
        <v>171091.2</v>
      </c>
      <c r="N32" s="100"/>
      <c r="O32" s="103"/>
      <c r="P32" s="100"/>
      <c r="Q32" s="103"/>
      <c r="R32" s="100"/>
      <c r="S32" s="103"/>
      <c r="T32" s="98">
        <v>19027411</v>
      </c>
      <c r="U32" s="104">
        <v>44347</v>
      </c>
      <c r="V32" s="105">
        <v>1786</v>
      </c>
      <c r="W32" s="106">
        <v>43690</v>
      </c>
      <c r="X32" s="105" t="s">
        <v>78</v>
      </c>
      <c r="Y32" s="107">
        <v>43696</v>
      </c>
      <c r="Z32" s="105" t="s">
        <v>79</v>
      </c>
      <c r="AA32" s="107">
        <v>43693</v>
      </c>
      <c r="AB32" s="108">
        <v>41400</v>
      </c>
      <c r="AC32" s="109">
        <v>118031.4</v>
      </c>
      <c r="AD32" s="110"/>
      <c r="AE32" s="109"/>
      <c r="AF32" s="110"/>
      <c r="AG32" s="109"/>
      <c r="AH32" s="110"/>
      <c r="AI32" s="109"/>
      <c r="AJ32" s="108">
        <f t="shared" si="0"/>
        <v>0</v>
      </c>
      <c r="AK32" s="182">
        <f t="shared" si="11"/>
        <v>0</v>
      </c>
      <c r="AL32" s="108">
        <f t="shared" si="8"/>
        <v>3690</v>
      </c>
      <c r="AM32" s="109">
        <f t="shared" si="8"/>
        <v>10520.189999999988</v>
      </c>
      <c r="AN32" s="184">
        <v>40500</v>
      </c>
      <c r="AO32" s="123">
        <v>115465.5</v>
      </c>
      <c r="AP32" s="111"/>
      <c r="AQ32" s="108">
        <v>2790</v>
      </c>
      <c r="AR32" s="109">
        <v>2.851</v>
      </c>
      <c r="AS32" s="109">
        <f t="shared" si="9"/>
        <v>7954.29</v>
      </c>
      <c r="AT32" s="108">
        <f t="shared" si="7"/>
        <v>37710</v>
      </c>
      <c r="AU32" s="109">
        <f t="shared" si="10"/>
        <v>107511.21</v>
      </c>
      <c r="AV32" s="438">
        <f>41880-41880</f>
        <v>0</v>
      </c>
      <c r="AW32" s="108"/>
      <c r="AX32" s="438">
        <f>41880-30-450-900-2790</f>
        <v>37710</v>
      </c>
      <c r="AY32" s="108"/>
      <c r="AZ32" s="108"/>
      <c r="BA32" s="108"/>
      <c r="BB32" s="429">
        <f>AB32+AJ32-AL32</f>
        <v>37710</v>
      </c>
      <c r="BC32" s="429">
        <f>BB32-AT32</f>
        <v>0</v>
      </c>
    </row>
    <row r="33" spans="2:55" s="231" customFormat="1" ht="15.75">
      <c r="B33" s="441">
        <v>13</v>
      </c>
      <c r="C33" s="112" t="s">
        <v>44</v>
      </c>
      <c r="D33" s="113" t="s">
        <v>50</v>
      </c>
      <c r="E33" s="114" t="s">
        <v>39</v>
      </c>
      <c r="F33" s="466" t="s">
        <v>106</v>
      </c>
      <c r="G33" s="115" t="s">
        <v>47</v>
      </c>
      <c r="H33" s="115" t="s">
        <v>47</v>
      </c>
      <c r="I33" s="553">
        <v>504</v>
      </c>
      <c r="J33" s="553">
        <v>895</v>
      </c>
      <c r="K33" s="554"/>
      <c r="L33" s="555">
        <v>451080</v>
      </c>
      <c r="M33" s="554">
        <f>K33*L33</f>
        <v>0</v>
      </c>
      <c r="N33" s="116"/>
      <c r="O33" s="117"/>
      <c r="P33" s="116"/>
      <c r="Q33" s="117"/>
      <c r="R33" s="116"/>
      <c r="S33" s="117"/>
      <c r="T33" s="112" t="s">
        <v>51</v>
      </c>
      <c r="U33" s="118">
        <v>44105</v>
      </c>
      <c r="V33" s="119">
        <v>1274</v>
      </c>
      <c r="W33" s="120">
        <v>43287</v>
      </c>
      <c r="X33" s="119" t="s">
        <v>52</v>
      </c>
      <c r="Y33" s="121">
        <v>43304</v>
      </c>
      <c r="Z33" s="119" t="s">
        <v>53</v>
      </c>
      <c r="AA33" s="121">
        <v>43315</v>
      </c>
      <c r="AB33" s="122">
        <v>4066</v>
      </c>
      <c r="AC33" s="123">
        <v>34980.669286876</v>
      </c>
      <c r="AD33" s="124"/>
      <c r="AE33" s="123"/>
      <c r="AF33" s="124"/>
      <c r="AG33" s="123"/>
      <c r="AH33" s="124"/>
      <c r="AI33" s="123"/>
      <c r="AJ33" s="122">
        <f t="shared" si="0"/>
        <v>0</v>
      </c>
      <c r="AK33" s="182">
        <f t="shared" si="11"/>
        <v>0</v>
      </c>
      <c r="AL33" s="122">
        <f t="shared" si="8"/>
        <v>2922</v>
      </c>
      <c r="AM33" s="123">
        <f t="shared" si="8"/>
        <v>25138.592143692</v>
      </c>
      <c r="AN33" s="185">
        <v>1144</v>
      </c>
      <c r="AO33" s="123">
        <v>12732.75714328</v>
      </c>
      <c r="AP33" s="125"/>
      <c r="AQ33" s="122"/>
      <c r="AR33" s="123">
        <v>8.603214286</v>
      </c>
      <c r="AS33" s="123">
        <f t="shared" si="9"/>
        <v>0</v>
      </c>
      <c r="AT33" s="122">
        <f>SUM(AV33:BA33)</f>
        <v>1144</v>
      </c>
      <c r="AU33" s="123">
        <f>AR33*AT33</f>
        <v>9842.077143184</v>
      </c>
      <c r="AV33" s="513">
        <f>20664-5576-2520-6048-4032-504-1984</f>
        <v>0</v>
      </c>
      <c r="AW33" s="122"/>
      <c r="AX33" s="513">
        <f>5576+6048-1848-2682+4032-1820-3052-4508-1746</f>
        <v>0</v>
      </c>
      <c r="AY33" s="122"/>
      <c r="AZ33" s="122">
        <f>2520-1512-504+1984-168-336-504-336</f>
        <v>1144</v>
      </c>
      <c r="BA33" s="122"/>
      <c r="BB33" s="97">
        <f t="shared" si="5"/>
        <v>1144</v>
      </c>
      <c r="BC33" s="79">
        <f t="shared" si="6"/>
        <v>0</v>
      </c>
    </row>
    <row r="34" spans="2:55" s="231" customFormat="1" ht="15.75">
      <c r="B34" s="441">
        <v>14</v>
      </c>
      <c r="C34" s="112" t="s">
        <v>44</v>
      </c>
      <c r="D34" s="113" t="s">
        <v>50</v>
      </c>
      <c r="E34" s="114" t="s">
        <v>39</v>
      </c>
      <c r="F34" s="466" t="s">
        <v>106</v>
      </c>
      <c r="G34" s="115" t="s">
        <v>47</v>
      </c>
      <c r="H34" s="115" t="s">
        <v>47</v>
      </c>
      <c r="I34" s="553"/>
      <c r="J34" s="553"/>
      <c r="K34" s="554"/>
      <c r="L34" s="555"/>
      <c r="M34" s="554"/>
      <c r="N34" s="116"/>
      <c r="O34" s="117"/>
      <c r="P34" s="116"/>
      <c r="Q34" s="117"/>
      <c r="R34" s="116"/>
      <c r="S34" s="117"/>
      <c r="T34" s="112" t="s">
        <v>54</v>
      </c>
      <c r="U34" s="118">
        <v>44105</v>
      </c>
      <c r="V34" s="119">
        <v>1390</v>
      </c>
      <c r="W34" s="120">
        <v>43307</v>
      </c>
      <c r="X34" s="119" t="s">
        <v>55</v>
      </c>
      <c r="Y34" s="127">
        <v>43325</v>
      </c>
      <c r="Z34" s="128" t="s">
        <v>56</v>
      </c>
      <c r="AA34" s="127">
        <v>43321</v>
      </c>
      <c r="AB34" s="122">
        <v>20496</v>
      </c>
      <c r="AC34" s="123">
        <v>176331.480005856</v>
      </c>
      <c r="AD34" s="124"/>
      <c r="AE34" s="123"/>
      <c r="AF34" s="124"/>
      <c r="AG34" s="123"/>
      <c r="AH34" s="124"/>
      <c r="AI34" s="123"/>
      <c r="AJ34" s="122">
        <f t="shared" si="0"/>
        <v>0</v>
      </c>
      <c r="AK34" s="182">
        <f t="shared" si="11"/>
        <v>0</v>
      </c>
      <c r="AL34" s="122">
        <f t="shared" si="8"/>
        <v>13598</v>
      </c>
      <c r="AM34" s="123">
        <f t="shared" si="8"/>
        <v>116986.50786102799</v>
      </c>
      <c r="AN34" s="185">
        <v>17230</v>
      </c>
      <c r="AO34" s="123">
        <v>148233.38214778</v>
      </c>
      <c r="AP34" s="125"/>
      <c r="AQ34" s="122">
        <v>10332</v>
      </c>
      <c r="AR34" s="123">
        <v>8.603214286</v>
      </c>
      <c r="AS34" s="123">
        <f t="shared" si="9"/>
        <v>88888.410002952</v>
      </c>
      <c r="AT34" s="122">
        <f t="shared" si="7"/>
        <v>6898</v>
      </c>
      <c r="AU34" s="123">
        <f t="shared" si="10"/>
        <v>59344.972144828</v>
      </c>
      <c r="AV34" s="513">
        <f>20496-8064-2552-9880</f>
        <v>0</v>
      </c>
      <c r="AW34" s="122"/>
      <c r="AX34" s="513">
        <f>8064-3266+9880-10332</f>
        <v>4346</v>
      </c>
      <c r="AY34" s="122"/>
      <c r="AZ34" s="122">
        <v>2552</v>
      </c>
      <c r="BA34" s="122"/>
      <c r="BB34" s="126">
        <f t="shared" si="5"/>
        <v>6898</v>
      </c>
      <c r="BC34" s="79">
        <f t="shared" si="6"/>
        <v>0</v>
      </c>
    </row>
    <row r="35" spans="2:55" ht="15.75" hidden="1">
      <c r="B35" s="147">
        <v>12</v>
      </c>
      <c r="C35" s="5"/>
      <c r="D35" s="6"/>
      <c r="E35" s="30" t="s">
        <v>57</v>
      </c>
      <c r="F35" s="30"/>
      <c r="G35" s="31" t="s">
        <v>47</v>
      </c>
      <c r="H35" s="31" t="s">
        <v>47</v>
      </c>
      <c r="I35" s="32">
        <v>84</v>
      </c>
      <c r="J35" s="32">
        <v>895</v>
      </c>
      <c r="K35" s="33">
        <v>249.07</v>
      </c>
      <c r="L35" s="34">
        <f>I35*J35</f>
        <v>75180</v>
      </c>
      <c r="M35" s="556">
        <f>K35*L35</f>
        <v>18725082.599999998</v>
      </c>
      <c r="N35" s="32"/>
      <c r="O35" s="35"/>
      <c r="P35" s="32"/>
      <c r="Q35" s="35"/>
      <c r="R35" s="32"/>
      <c r="S35" s="35"/>
      <c r="T35" s="36"/>
      <c r="U35" s="36"/>
      <c r="V35" s="7"/>
      <c r="W35" s="8"/>
      <c r="X35" s="48"/>
      <c r="Y35" s="49"/>
      <c r="Z35" s="49"/>
      <c r="AA35" s="49"/>
      <c r="AB35" s="586">
        <v>0</v>
      </c>
      <c r="AC35" s="9">
        <v>0</v>
      </c>
      <c r="AD35" s="51"/>
      <c r="AE35" s="52"/>
      <c r="AF35" s="51"/>
      <c r="AG35" s="52"/>
      <c r="AH35" s="51"/>
      <c r="AI35" s="52"/>
      <c r="AJ35" s="3">
        <f t="shared" si="0"/>
        <v>0</v>
      </c>
      <c r="AK35" s="186">
        <f>AJ35*AR35</f>
        <v>0</v>
      </c>
      <c r="AL35" s="3">
        <f t="shared" si="8"/>
        <v>8000</v>
      </c>
      <c r="AM35" s="9">
        <f t="shared" si="8"/>
        <v>17452.58</v>
      </c>
      <c r="AN35" s="187">
        <v>0</v>
      </c>
      <c r="AO35" s="52">
        <v>0</v>
      </c>
      <c r="AP35" s="56"/>
      <c r="AQ35" s="53">
        <f>AN35-AT35</f>
        <v>0</v>
      </c>
      <c r="AR35" s="52"/>
      <c r="AS35" s="52">
        <f t="shared" si="9"/>
        <v>0</v>
      </c>
      <c r="AT35" s="3">
        <f>AN35+AP35-AQ35</f>
        <v>0</v>
      </c>
      <c r="AU35" s="9">
        <f>AT35*AR35</f>
        <v>0</v>
      </c>
      <c r="AV35" s="3">
        <v>0</v>
      </c>
      <c r="AW35" s="3"/>
      <c r="AX35" s="3"/>
      <c r="AY35" s="3"/>
      <c r="AZ35" s="3"/>
      <c r="BA35" s="3"/>
      <c r="BB35" s="10">
        <f t="shared" si="5"/>
        <v>0</v>
      </c>
      <c r="BC35" s="79">
        <f t="shared" si="6"/>
        <v>0</v>
      </c>
    </row>
    <row r="36" spans="2:55" ht="15.75" hidden="1">
      <c r="B36" s="130">
        <v>13</v>
      </c>
      <c r="C36" s="5"/>
      <c r="D36" s="6"/>
      <c r="E36" s="30" t="s">
        <v>58</v>
      </c>
      <c r="F36" s="30"/>
      <c r="G36" s="31" t="s">
        <v>47</v>
      </c>
      <c r="H36" s="31" t="s">
        <v>47</v>
      </c>
      <c r="I36" s="32"/>
      <c r="J36" s="32"/>
      <c r="K36" s="33">
        <v>35.36</v>
      </c>
      <c r="L36" s="34">
        <f>I36*J36</f>
        <v>0</v>
      </c>
      <c r="M36" s="556">
        <f>K36*L36</f>
        <v>0</v>
      </c>
      <c r="N36" s="32"/>
      <c r="O36" s="35"/>
      <c r="P36" s="32"/>
      <c r="Q36" s="35"/>
      <c r="R36" s="32"/>
      <c r="S36" s="35"/>
      <c r="T36" s="36"/>
      <c r="U36" s="36"/>
      <c r="V36" s="7"/>
      <c r="W36" s="8"/>
      <c r="X36" s="48"/>
      <c r="Y36" s="49"/>
      <c r="Z36" s="49"/>
      <c r="AA36" s="49"/>
      <c r="AB36" s="586">
        <v>0</v>
      </c>
      <c r="AC36" s="9">
        <v>0</v>
      </c>
      <c r="AD36" s="51"/>
      <c r="AE36" s="52"/>
      <c r="AF36" s="51"/>
      <c r="AG36" s="52"/>
      <c r="AH36" s="51"/>
      <c r="AI36" s="52"/>
      <c r="AJ36" s="3">
        <f t="shared" si="0"/>
        <v>0</v>
      </c>
      <c r="AK36" s="186">
        <f>AJ36*AR36</f>
        <v>0</v>
      </c>
      <c r="AL36" s="3">
        <f t="shared" si="8"/>
        <v>8000</v>
      </c>
      <c r="AM36" s="9">
        <f t="shared" si="8"/>
        <v>17452.58</v>
      </c>
      <c r="AN36" s="187">
        <v>0</v>
      </c>
      <c r="AO36" s="52">
        <v>0</v>
      </c>
      <c r="AP36" s="56"/>
      <c r="AQ36" s="53">
        <f>AN36-AT36</f>
        <v>0</v>
      </c>
      <c r="AR36" s="52"/>
      <c r="AS36" s="52">
        <f t="shared" si="9"/>
        <v>0</v>
      </c>
      <c r="AT36" s="3">
        <f>AN36+AP36-AQ36</f>
        <v>0</v>
      </c>
      <c r="AU36" s="9">
        <f>AT36*AR36</f>
        <v>0</v>
      </c>
      <c r="AV36" s="3">
        <v>0</v>
      </c>
      <c r="AW36" s="3"/>
      <c r="AX36" s="3"/>
      <c r="AY36" s="3"/>
      <c r="AZ36" s="3"/>
      <c r="BA36" s="3"/>
      <c r="BB36" s="10">
        <f t="shared" si="5"/>
        <v>0</v>
      </c>
      <c r="BC36" s="79">
        <f t="shared" si="6"/>
        <v>0</v>
      </c>
    </row>
    <row r="37" spans="2:55" ht="15.75" hidden="1">
      <c r="B37" s="130">
        <v>14</v>
      </c>
      <c r="C37" s="5"/>
      <c r="D37" s="6" t="s">
        <v>59</v>
      </c>
      <c r="E37" s="30" t="s">
        <v>60</v>
      </c>
      <c r="F37" s="30"/>
      <c r="G37" s="31" t="s">
        <v>47</v>
      </c>
      <c r="H37" s="31" t="s">
        <v>47</v>
      </c>
      <c r="I37" s="32"/>
      <c r="J37" s="32"/>
      <c r="K37" s="33">
        <v>35.36</v>
      </c>
      <c r="L37" s="34">
        <f>I37*J37</f>
        <v>0</v>
      </c>
      <c r="M37" s="556">
        <f>K37*L37</f>
        <v>0</v>
      </c>
      <c r="N37" s="32"/>
      <c r="O37" s="35"/>
      <c r="P37" s="32"/>
      <c r="Q37" s="35"/>
      <c r="R37" s="32"/>
      <c r="S37" s="35"/>
      <c r="T37" s="36"/>
      <c r="U37" s="36"/>
      <c r="V37" s="7"/>
      <c r="W37" s="8"/>
      <c r="X37" s="48"/>
      <c r="Y37" s="49"/>
      <c r="Z37" s="49"/>
      <c r="AA37" s="49"/>
      <c r="AB37" s="586">
        <v>0</v>
      </c>
      <c r="AC37" s="9">
        <v>0</v>
      </c>
      <c r="AD37" s="51"/>
      <c r="AE37" s="52"/>
      <c r="AF37" s="51"/>
      <c r="AG37" s="52"/>
      <c r="AH37" s="51"/>
      <c r="AI37" s="52"/>
      <c r="AJ37" s="3">
        <f>AD37+AF37+AH37</f>
        <v>0</v>
      </c>
      <c r="AK37" s="186">
        <f>AJ37*AR37</f>
        <v>0</v>
      </c>
      <c r="AL37" s="3">
        <f t="shared" si="8"/>
        <v>8000</v>
      </c>
      <c r="AM37" s="9">
        <f t="shared" si="8"/>
        <v>17452.58</v>
      </c>
      <c r="AN37" s="187">
        <v>0</v>
      </c>
      <c r="AO37" s="52">
        <v>0</v>
      </c>
      <c r="AP37" s="56"/>
      <c r="AQ37" s="53">
        <f>AN37-AT37</f>
        <v>0</v>
      </c>
      <c r="AR37" s="52"/>
      <c r="AS37" s="52">
        <f t="shared" si="9"/>
        <v>0</v>
      </c>
      <c r="AT37" s="3">
        <f>AN37+AP37-AQ37</f>
        <v>0</v>
      </c>
      <c r="AU37" s="9">
        <f>AT37*AR37</f>
        <v>0</v>
      </c>
      <c r="AV37" s="3">
        <v>0</v>
      </c>
      <c r="AW37" s="3"/>
      <c r="AX37" s="3"/>
      <c r="AY37" s="3"/>
      <c r="AZ37" s="3"/>
      <c r="BA37" s="3"/>
      <c r="BB37" s="10">
        <f t="shared" si="5"/>
        <v>0</v>
      </c>
      <c r="BC37" s="79">
        <f t="shared" si="6"/>
        <v>0</v>
      </c>
    </row>
    <row r="38" spans="2:55" s="232" customFormat="1" ht="15.75">
      <c r="B38" s="147"/>
      <c r="C38" s="610" t="s">
        <v>61</v>
      </c>
      <c r="D38" s="610"/>
      <c r="E38" s="610"/>
      <c r="F38" s="610"/>
      <c r="G38" s="610"/>
      <c r="H38" s="610"/>
      <c r="I38" s="150"/>
      <c r="J38" s="150"/>
      <c r="K38" s="151"/>
      <c r="L38" s="151"/>
      <c r="M38" s="151">
        <f>SUM(M17:M34)</f>
        <v>44995095.96</v>
      </c>
      <c r="N38" s="151">
        <f aca="true" t="shared" si="13" ref="N38:S38">SUM(N21:O34)</f>
        <v>0</v>
      </c>
      <c r="O38" s="151">
        <f t="shared" si="13"/>
        <v>0</v>
      </c>
      <c r="P38" s="151">
        <f t="shared" si="13"/>
        <v>0</v>
      </c>
      <c r="Q38" s="151">
        <f t="shared" si="13"/>
        <v>0</v>
      </c>
      <c r="R38" s="151">
        <f t="shared" si="13"/>
        <v>0</v>
      </c>
      <c r="S38" s="151">
        <f t="shared" si="13"/>
        <v>43838391</v>
      </c>
      <c r="T38" s="152"/>
      <c r="U38" s="152"/>
      <c r="V38" s="153"/>
      <c r="W38" s="153"/>
      <c r="X38" s="152"/>
      <c r="Y38" s="152"/>
      <c r="Z38" s="152"/>
      <c r="AA38" s="152"/>
      <c r="AB38" s="154">
        <f>SUM(AB17:AB37)</f>
        <v>69997</v>
      </c>
      <c r="AC38" s="154">
        <f aca="true" t="shared" si="14" ref="AC38:AK38">SUM(AC17:AC37)</f>
        <v>646430.599290932</v>
      </c>
      <c r="AD38" s="154">
        <f t="shared" si="14"/>
        <v>616</v>
      </c>
      <c r="AE38" s="154">
        <f t="shared" si="14"/>
        <v>21451.23</v>
      </c>
      <c r="AF38" s="154">
        <f t="shared" si="14"/>
        <v>12640</v>
      </c>
      <c r="AG38" s="154">
        <f t="shared" si="14"/>
        <v>2704437.86</v>
      </c>
      <c r="AH38" s="154">
        <f t="shared" si="14"/>
        <v>0</v>
      </c>
      <c r="AI38" s="154">
        <f t="shared" si="14"/>
        <v>0</v>
      </c>
      <c r="AJ38" s="154">
        <f t="shared" si="14"/>
        <v>13256</v>
      </c>
      <c r="AK38" s="154">
        <f t="shared" si="14"/>
        <v>2725889.09</v>
      </c>
      <c r="AL38" s="154">
        <f>SUM(AL17:AL34)</f>
        <v>23721</v>
      </c>
      <c r="AM38" s="154">
        <f>SUM(AM17:AM34)</f>
        <v>2622447.589539687</v>
      </c>
      <c r="AN38" s="154">
        <f>SUM(AN17:AN34)</f>
        <v>68994</v>
      </c>
      <c r="AO38" s="154">
        <f>SUM(AO17:AO34)</f>
        <v>1710518.8583246355</v>
      </c>
      <c r="AP38" s="154">
        <f>SUM(AP17:AP34)</f>
        <v>5824</v>
      </c>
      <c r="AQ38" s="154">
        <f>SUM(AQ17:AQ37)</f>
        <v>0</v>
      </c>
      <c r="AR38" s="155" t="s">
        <v>40</v>
      </c>
      <c r="AS38" s="155">
        <f>SUM(AS17:AS34)</f>
        <v>253197.788573476</v>
      </c>
      <c r="AT38" s="155">
        <f aca="true" t="shared" si="15" ref="AT38:BA38">SUM(AT17:AT34)</f>
        <v>59532</v>
      </c>
      <c r="AU38" s="155">
        <f t="shared" si="15"/>
        <v>2971757.74975108</v>
      </c>
      <c r="AV38" s="155">
        <f>SUM(AV17:AV34)</f>
        <v>12640</v>
      </c>
      <c r="AW38" s="155">
        <f t="shared" si="15"/>
        <v>0</v>
      </c>
      <c r="AX38" s="155">
        <f t="shared" si="15"/>
        <v>42580</v>
      </c>
      <c r="AY38" s="155">
        <f t="shared" si="15"/>
        <v>0</v>
      </c>
      <c r="AZ38" s="155">
        <f t="shared" si="15"/>
        <v>4312</v>
      </c>
      <c r="BA38" s="155">
        <f t="shared" si="15"/>
        <v>0</v>
      </c>
      <c r="BB38" s="156">
        <f t="shared" si="5"/>
        <v>59532</v>
      </c>
      <c r="BC38" s="157">
        <f t="shared" si="6"/>
        <v>0</v>
      </c>
    </row>
    <row r="39" spans="48:55" ht="15.75">
      <c r="AV39" s="1"/>
      <c r="BB39" s="10">
        <f t="shared" si="5"/>
        <v>0</v>
      </c>
      <c r="BC39" s="79">
        <f t="shared" si="6"/>
        <v>0</v>
      </c>
    </row>
    <row r="40" spans="3:55" ht="18.75" hidden="1">
      <c r="C40" s="21"/>
      <c r="D40" s="22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42"/>
      <c r="V40" s="22"/>
      <c r="W40" s="22"/>
      <c r="X40" s="40"/>
      <c r="Y40" s="40"/>
      <c r="Z40" s="40"/>
      <c r="AA40" s="40"/>
      <c r="AB40" s="23">
        <v>25627</v>
      </c>
      <c r="AC40" s="24">
        <v>429721.02999999997</v>
      </c>
      <c r="AD40" s="46">
        <v>2489</v>
      </c>
      <c r="AE40" s="46">
        <v>238467.40999999997</v>
      </c>
      <c r="AF40" s="46">
        <v>43857</v>
      </c>
      <c r="AG40" s="46">
        <v>1030797.06</v>
      </c>
      <c r="AH40" s="46">
        <v>0</v>
      </c>
      <c r="AI40" s="46">
        <v>0</v>
      </c>
      <c r="AJ40" s="25">
        <v>46346</v>
      </c>
      <c r="AK40" s="190">
        <v>1269264.4699921182</v>
      </c>
      <c r="AL40" s="23">
        <v>5305</v>
      </c>
      <c r="AM40" s="24">
        <v>209811.62</v>
      </c>
      <c r="AN40" s="191">
        <v>66668</v>
      </c>
      <c r="AO40" s="59">
        <v>1489173.879992118</v>
      </c>
      <c r="AP40" s="60">
        <v>0</v>
      </c>
      <c r="AQ40" s="61">
        <v>0</v>
      </c>
      <c r="AR40" s="29" t="s">
        <v>40</v>
      </c>
      <c r="AS40" s="29">
        <v>0</v>
      </c>
      <c r="AT40" s="26">
        <v>66668</v>
      </c>
      <c r="AU40" s="27">
        <v>1489173.879992118</v>
      </c>
      <c r="AV40" s="28">
        <f>AB38+AJ38-AL38</f>
        <v>59532</v>
      </c>
      <c r="AW40" s="28"/>
      <c r="BB40" s="10">
        <f t="shared" si="5"/>
        <v>66668</v>
      </c>
      <c r="BC40" s="10">
        <f t="shared" si="6"/>
        <v>0</v>
      </c>
    </row>
    <row r="41" spans="1:54" s="16" customFormat="1" ht="20.25">
      <c r="A41" s="13"/>
      <c r="B41" s="14"/>
      <c r="C41" s="13" t="s">
        <v>80</v>
      </c>
      <c r="D41" s="14"/>
      <c r="E41" s="43" t="s">
        <v>62</v>
      </c>
      <c r="F41" s="43"/>
      <c r="G41" s="44"/>
      <c r="H41" s="43"/>
      <c r="I41" s="43" t="s">
        <v>63</v>
      </c>
      <c r="J41" s="4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17"/>
      <c r="W41" s="15"/>
      <c r="X41" s="43"/>
      <c r="Y41" s="44"/>
      <c r="Z41" s="43"/>
      <c r="AA41" s="43"/>
      <c r="AB41" s="13"/>
      <c r="AC41" s="15" t="s">
        <v>77</v>
      </c>
      <c r="AD41" s="43"/>
      <c r="AE41" s="54"/>
      <c r="AF41" s="43"/>
      <c r="AG41" s="43"/>
      <c r="AH41" s="43"/>
      <c r="AI41" s="43"/>
      <c r="AJ41" s="13"/>
      <c r="AK41" s="192"/>
      <c r="AL41" s="13"/>
      <c r="AM41" s="18"/>
      <c r="AN41" s="193"/>
      <c r="AO41" s="54"/>
      <c r="AP41" s="146"/>
      <c r="AQ41" s="129"/>
      <c r="AR41" s="62"/>
      <c r="AS41" s="63"/>
      <c r="AT41" s="14"/>
      <c r="AU41" s="19"/>
      <c r="AV41" s="20"/>
      <c r="AW41" s="20"/>
      <c r="AX41" s="14"/>
      <c r="AY41" s="14"/>
      <c r="AZ41" s="14"/>
      <c r="BA41" s="14"/>
      <c r="BB41" s="14"/>
    </row>
    <row r="42" spans="1:54" s="16" customFormat="1" ht="20.25" hidden="1">
      <c r="A42" s="13"/>
      <c r="B42" s="14"/>
      <c r="C42" s="13"/>
      <c r="D42" s="14"/>
      <c r="E42" s="233"/>
      <c r="F42" s="233"/>
      <c r="G42" s="43"/>
      <c r="H42" s="43"/>
      <c r="I42" s="43"/>
      <c r="J42" s="43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17"/>
      <c r="W42" s="15"/>
      <c r="X42" s="43"/>
      <c r="Y42" s="44"/>
      <c r="Z42" s="43"/>
      <c r="AA42" s="43"/>
      <c r="AB42" s="13"/>
      <c r="AC42" s="15"/>
      <c r="AD42" s="43"/>
      <c r="AE42" s="43"/>
      <c r="AF42" s="43"/>
      <c r="AG42" s="43"/>
      <c r="AH42" s="43"/>
      <c r="AI42" s="43"/>
      <c r="AJ42" s="13"/>
      <c r="AK42" s="192"/>
      <c r="AL42" s="13"/>
      <c r="AM42" s="15"/>
      <c r="AN42" s="193"/>
      <c r="AO42" s="43"/>
      <c r="AP42" s="234"/>
      <c r="AQ42" s="129"/>
      <c r="AR42" s="62"/>
      <c r="AS42" s="235"/>
      <c r="AT42" s="14"/>
      <c r="AU42" s="27"/>
      <c r="AV42" s="20"/>
      <c r="AW42" s="20"/>
      <c r="AX42" s="236"/>
      <c r="AY42" s="14"/>
      <c r="AZ42" s="14"/>
      <c r="BA42" s="14"/>
      <c r="BB42" s="14"/>
    </row>
    <row r="43" spans="1:54" s="16" customFormat="1" ht="20.25" hidden="1">
      <c r="A43" s="13"/>
      <c r="B43" s="14"/>
      <c r="C43" s="13"/>
      <c r="D43" s="14"/>
      <c r="E43" s="233"/>
      <c r="F43" s="233"/>
      <c r="G43" s="43"/>
      <c r="H43" s="43"/>
      <c r="I43" s="43"/>
      <c r="J43" s="4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17"/>
      <c r="W43" s="15"/>
      <c r="X43" s="43"/>
      <c r="Y43" s="44"/>
      <c r="Z43" s="43"/>
      <c r="AA43" s="43"/>
      <c r="AB43" s="13"/>
      <c r="AC43" s="237"/>
      <c r="AD43" s="43"/>
      <c r="AE43" s="43"/>
      <c r="AF43" s="43"/>
      <c r="AG43" s="43"/>
      <c r="AH43" s="43"/>
      <c r="AI43" s="43"/>
      <c r="AJ43" s="13"/>
      <c r="AK43" s="192"/>
      <c r="AL43" s="13"/>
      <c r="AM43" s="15"/>
      <c r="AN43" s="193"/>
      <c r="AO43" s="43"/>
      <c r="AP43" s="234"/>
      <c r="AQ43" s="129"/>
      <c r="AR43" s="62"/>
      <c r="AS43" s="235"/>
      <c r="AT43" s="14"/>
      <c r="AU43" s="238"/>
      <c r="AV43" s="14"/>
      <c r="AW43" s="14"/>
      <c r="AX43" s="14"/>
      <c r="AY43" s="14"/>
      <c r="AZ43" s="14"/>
      <c r="BA43" s="14"/>
      <c r="BB43" s="14"/>
    </row>
    <row r="44" spans="1:54" s="16" customFormat="1" ht="20.25">
      <c r="A44" s="239"/>
      <c r="B44" s="198" t="s">
        <v>72</v>
      </c>
      <c r="C44" s="239"/>
      <c r="D44" s="14"/>
      <c r="E44" s="240"/>
      <c r="F44" s="240"/>
      <c r="G44" s="241"/>
      <c r="H44" s="241"/>
      <c r="I44" s="242"/>
      <c r="J44" s="242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17"/>
      <c r="W44" s="238"/>
      <c r="X44" s="243"/>
      <c r="Y44" s="44"/>
      <c r="Z44" s="44"/>
      <c r="AA44" s="44"/>
      <c r="AB44" s="239"/>
      <c r="AC44" s="244"/>
      <c r="AD44" s="44"/>
      <c r="AE44" s="44"/>
      <c r="AF44" s="44"/>
      <c r="AG44" s="44"/>
      <c r="AH44" s="44"/>
      <c r="AI44" s="44"/>
      <c r="AJ44" s="239"/>
      <c r="AK44" s="245"/>
      <c r="AL44" s="246"/>
      <c r="AM44" s="247"/>
      <c r="AN44" s="248"/>
      <c r="AO44" s="249"/>
      <c r="AP44" s="234"/>
      <c r="AQ44" s="129"/>
      <c r="AR44" s="62"/>
      <c r="AS44" s="235"/>
      <c r="AT44" s="14"/>
      <c r="AU44" s="238"/>
      <c r="AV44" s="14"/>
      <c r="AW44" s="14"/>
      <c r="AX44" s="14"/>
      <c r="AY44" s="14"/>
      <c r="AZ44" s="14"/>
      <c r="BA44" s="14"/>
      <c r="BB44" s="14"/>
    </row>
    <row r="45" spans="1:54" s="16" customFormat="1" ht="15.75" customHeight="1">
      <c r="A45" s="250"/>
      <c r="B45" s="251"/>
      <c r="C45" s="667" t="s">
        <v>64</v>
      </c>
      <c r="D45" s="251"/>
      <c r="E45" s="252" t="s">
        <v>64</v>
      </c>
      <c r="F45" s="252"/>
      <c r="G45" s="44"/>
      <c r="H45" s="252"/>
      <c r="I45" s="668" t="s">
        <v>65</v>
      </c>
      <c r="J45" s="668"/>
      <c r="K45" s="668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4"/>
      <c r="W45" s="255"/>
      <c r="X45" s="256"/>
      <c r="Y45" s="44"/>
      <c r="Z45" s="43"/>
      <c r="AA45" s="252"/>
      <c r="AB45" s="250"/>
      <c r="AC45" s="257" t="s">
        <v>65</v>
      </c>
      <c r="AD45" s="252"/>
      <c r="AE45" s="252"/>
      <c r="AF45" s="252"/>
      <c r="AG45" s="252"/>
      <c r="AH45" s="252"/>
      <c r="AI45" s="252"/>
      <c r="AJ45" s="250"/>
      <c r="AK45" s="258"/>
      <c r="AL45" s="250"/>
      <c r="AM45" s="259"/>
      <c r="AN45" s="260"/>
      <c r="AO45" s="252"/>
      <c r="AP45" s="261"/>
      <c r="AQ45" s="262"/>
      <c r="AR45" s="62"/>
      <c r="AS45" s="235"/>
      <c r="AT45" s="14"/>
      <c r="AU45" s="238"/>
      <c r="AV45" s="14"/>
      <c r="AW45" s="14"/>
      <c r="AX45" s="14"/>
      <c r="AY45" s="14"/>
      <c r="AZ45" s="14"/>
      <c r="BA45" s="14"/>
      <c r="BB45" s="14"/>
    </row>
    <row r="46" spans="1:54" s="269" customFormat="1" ht="18.75">
      <c r="A46" s="24"/>
      <c r="B46" s="198"/>
      <c r="C46" s="667"/>
      <c r="D46" s="198"/>
      <c r="E46" s="46"/>
      <c r="F46" s="46"/>
      <c r="G46" s="217"/>
      <c r="H46" s="217"/>
      <c r="I46" s="217"/>
      <c r="J46" s="217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263"/>
      <c r="W46" s="216"/>
      <c r="X46" s="217"/>
      <c r="Y46" s="217"/>
      <c r="Z46" s="217"/>
      <c r="AA46" s="217"/>
      <c r="AB46" s="264"/>
      <c r="AC46" s="216"/>
      <c r="AD46" s="217"/>
      <c r="AE46" s="217"/>
      <c r="AF46" s="217"/>
      <c r="AG46" s="217"/>
      <c r="AH46" s="217"/>
      <c r="AI46" s="217"/>
      <c r="AJ46" s="264"/>
      <c r="AK46" s="218"/>
      <c r="AL46" s="264"/>
      <c r="AM46" s="216"/>
      <c r="AN46" s="265"/>
      <c r="AO46" s="217"/>
      <c r="AP46" s="266"/>
      <c r="AQ46" s="267"/>
      <c r="AR46" s="268"/>
      <c r="AS46" s="61"/>
      <c r="AT46" s="26"/>
      <c r="AU46" s="198"/>
      <c r="AV46" s="26"/>
      <c r="AW46" s="26"/>
      <c r="AX46" s="26"/>
      <c r="AY46" s="26"/>
      <c r="AZ46" s="26"/>
      <c r="BA46" s="26"/>
      <c r="BB46" s="26"/>
    </row>
  </sheetData>
  <sheetProtection/>
  <mergeCells count="43">
    <mergeCell ref="C6:AX6"/>
    <mergeCell ref="C7:AX7"/>
    <mergeCell ref="C8:AX8"/>
    <mergeCell ref="C9:AX9"/>
    <mergeCell ref="C10:AX10"/>
    <mergeCell ref="C11:AX11"/>
    <mergeCell ref="AP13:AX13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AJ14:AK15"/>
    <mergeCell ref="AL14:AM15"/>
    <mergeCell ref="K14:K16"/>
    <mergeCell ref="L14:M15"/>
    <mergeCell ref="N14:S14"/>
    <mergeCell ref="T14:T16"/>
    <mergeCell ref="U14:U16"/>
    <mergeCell ref="V14:W15"/>
    <mergeCell ref="P15:Q15"/>
    <mergeCell ref="R15:S15"/>
    <mergeCell ref="AD15:AE15"/>
    <mergeCell ref="AF15:AG15"/>
    <mergeCell ref="AH15:AI15"/>
    <mergeCell ref="X14:Y15"/>
    <mergeCell ref="Z14:AA15"/>
    <mergeCell ref="AB14:AC15"/>
    <mergeCell ref="AD14:AI14"/>
    <mergeCell ref="AT15:AU15"/>
    <mergeCell ref="AV15:BA15"/>
    <mergeCell ref="C38:H38"/>
    <mergeCell ref="C45:C46"/>
    <mergeCell ref="I45:K45"/>
    <mergeCell ref="AN14:AO15"/>
    <mergeCell ref="AP14:AP15"/>
    <mergeCell ref="AQ14:AS15"/>
    <mergeCell ref="AT14:BA14"/>
    <mergeCell ref="N15:O15"/>
  </mergeCells>
  <printOptions/>
  <pageMargins left="0.2362204724409449" right="0.2362204724409449" top="0.7480314960629921" bottom="0.7480314960629921" header="0.31496062992125984" footer="0.31496062992125984"/>
  <pageSetup fitToHeight="0" fitToWidth="1" horizontalDpi="180" verticalDpi="18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6"/>
  <sheetViews>
    <sheetView view="pageBreakPreview" zoomScale="85" zoomScaleSheetLayoutView="85" zoomScalePageLayoutView="0" workbookViewId="0" topLeftCell="AM14">
      <selection activeCell="AZ28" sqref="AZ28"/>
    </sheetView>
  </sheetViews>
  <sheetFormatPr defaultColWidth="9.140625" defaultRowHeight="15"/>
  <cols>
    <col min="1" max="1" width="3.140625" style="4" customWidth="1"/>
    <col min="2" max="2" width="6.28125" style="1" customWidth="1"/>
    <col min="3" max="3" width="23.00390625" style="4" customWidth="1"/>
    <col min="4" max="4" width="37.140625" style="4" customWidth="1"/>
    <col min="5" max="5" width="30.8515625" style="37" customWidth="1"/>
    <col min="6" max="6" width="38.7109375" style="37" customWidth="1"/>
    <col min="7" max="8" width="8.8515625" style="38" customWidth="1"/>
    <col min="9" max="9" width="16.7109375" style="38" customWidth="1"/>
    <col min="10" max="10" width="11.00390625" style="38" customWidth="1"/>
    <col min="11" max="11" width="12.57421875" style="38" customWidth="1"/>
    <col min="12" max="12" width="12.140625" style="38" customWidth="1"/>
    <col min="13" max="13" width="15.57421875" style="38" customWidth="1"/>
    <col min="14" max="14" width="8.8515625" style="38" customWidth="1"/>
    <col min="15" max="15" width="5.7109375" style="38" customWidth="1"/>
    <col min="16" max="16" width="8.8515625" style="38" customWidth="1"/>
    <col min="17" max="17" width="5.7109375" style="38" customWidth="1"/>
    <col min="18" max="18" width="8.8515625" style="38" customWidth="1"/>
    <col min="19" max="19" width="15.8515625" style="38" customWidth="1"/>
    <col min="20" max="21" width="15.8515625" style="39" customWidth="1"/>
    <col min="22" max="23" width="15.8515625" style="4" customWidth="1"/>
    <col min="24" max="24" width="12.57421875" style="37" customWidth="1"/>
    <col min="25" max="25" width="13.00390625" style="37" customWidth="1"/>
    <col min="26" max="26" width="8.7109375" style="37" customWidth="1"/>
    <col min="27" max="27" width="13.140625" style="37" customWidth="1"/>
    <col min="28" max="28" width="10.57421875" style="11" customWidth="1"/>
    <col min="29" max="29" width="13.00390625" style="4" customWidth="1"/>
    <col min="30" max="30" width="9.57421875" style="37" customWidth="1"/>
    <col min="31" max="31" width="11.57421875" style="37" customWidth="1"/>
    <col min="32" max="32" width="11.28125" style="37" customWidth="1"/>
    <col min="33" max="33" width="14.421875" style="37" customWidth="1"/>
    <col min="34" max="34" width="10.57421875" style="37" customWidth="1"/>
    <col min="35" max="35" width="13.00390625" style="37" customWidth="1"/>
    <col min="36" max="36" width="10.57421875" style="11" customWidth="1"/>
    <col min="37" max="37" width="14.140625" style="188" customWidth="1"/>
    <col min="38" max="38" width="10.57421875" style="11" customWidth="1"/>
    <col min="39" max="39" width="13.00390625" style="4" customWidth="1"/>
    <col min="40" max="40" width="16.00390625" style="189" customWidth="1"/>
    <col min="41" max="41" width="14.7109375" style="37" customWidth="1"/>
    <col min="42" max="42" width="11.57421875" style="57" customWidth="1"/>
    <col min="43" max="43" width="13.00390625" style="58" customWidth="1"/>
    <col min="44" max="44" width="14.8515625" style="38" customWidth="1"/>
    <col min="45" max="45" width="15.00390625" style="38" customWidth="1"/>
    <col min="46" max="46" width="10.57421875" style="12" customWidth="1"/>
    <col min="47" max="47" width="14.421875" style="1" customWidth="1"/>
    <col min="48" max="48" width="10.57421875" style="270" customWidth="1"/>
    <col min="49" max="49" width="11.28125" style="1" customWidth="1"/>
    <col min="50" max="50" width="12.00390625" style="1" customWidth="1"/>
    <col min="51" max="51" width="8.421875" style="1" customWidth="1"/>
    <col min="52" max="52" width="12.140625" style="1" customWidth="1"/>
    <col min="53" max="53" width="11.57421875" style="1" customWidth="1"/>
    <col min="54" max="54" width="14.421875" style="4" customWidth="1"/>
    <col min="55" max="55" width="5.7109375" style="4" customWidth="1"/>
    <col min="56" max="56" width="9.140625" style="4" customWidth="1"/>
    <col min="57" max="16384" width="9.140625" style="4" customWidth="1"/>
  </cols>
  <sheetData>
    <row r="1" spans="2:53" s="197" customFormat="1" ht="21.75" customHeight="1">
      <c r="B1" s="198"/>
      <c r="E1" s="199"/>
      <c r="F1" s="199"/>
      <c r="G1" s="29"/>
      <c r="H1" s="2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29"/>
      <c r="U1" s="29"/>
      <c r="V1" s="200"/>
      <c r="W1" s="200"/>
      <c r="X1" s="201"/>
      <c r="Y1" s="201"/>
      <c r="Z1" s="201"/>
      <c r="AA1" s="201"/>
      <c r="AB1" s="202"/>
      <c r="AD1" s="201"/>
      <c r="AE1" s="201"/>
      <c r="AF1" s="201"/>
      <c r="AG1" s="201"/>
      <c r="AH1" s="201"/>
      <c r="AI1" s="201"/>
      <c r="AJ1" s="202"/>
      <c r="AK1" s="203"/>
      <c r="AL1" s="204" t="s">
        <v>0</v>
      </c>
      <c r="AN1" s="205"/>
      <c r="AO1" s="201"/>
      <c r="AP1" s="206"/>
      <c r="AQ1" s="207"/>
      <c r="AR1" s="201"/>
      <c r="AS1" s="201"/>
      <c r="AT1" s="202"/>
      <c r="AV1" s="208"/>
      <c r="AW1" s="208"/>
      <c r="AX1" s="208"/>
      <c r="AY1" s="208"/>
      <c r="AZ1" s="208"/>
      <c r="BA1" s="208"/>
    </row>
    <row r="2" spans="2:53" s="197" customFormat="1" ht="15" customHeight="1">
      <c r="B2" s="198"/>
      <c r="E2" s="199"/>
      <c r="F2" s="199"/>
      <c r="G2" s="29"/>
      <c r="H2" s="2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29"/>
      <c r="U2" s="29"/>
      <c r="V2" s="200"/>
      <c r="W2" s="200"/>
      <c r="X2" s="201"/>
      <c r="Y2" s="201"/>
      <c r="Z2" s="201"/>
      <c r="AA2" s="201"/>
      <c r="AB2" s="202"/>
      <c r="AD2" s="201"/>
      <c r="AE2" s="201"/>
      <c r="AF2" s="201"/>
      <c r="AG2" s="201"/>
      <c r="AH2" s="201"/>
      <c r="AI2" s="201"/>
      <c r="AJ2" s="202"/>
      <c r="AK2" s="203"/>
      <c r="AL2" s="202" t="s">
        <v>1</v>
      </c>
      <c r="AN2" s="205"/>
      <c r="AO2" s="201"/>
      <c r="AP2" s="206"/>
      <c r="AQ2" s="207"/>
      <c r="AR2" s="201"/>
      <c r="AS2" s="201"/>
      <c r="AT2" s="202"/>
      <c r="AV2" s="208"/>
      <c r="AW2" s="208"/>
      <c r="AX2" s="208"/>
      <c r="AY2" s="208"/>
      <c r="AZ2" s="208"/>
      <c r="BA2" s="208"/>
    </row>
    <row r="3" spans="2:53" s="197" customFormat="1" ht="15.75">
      <c r="B3" s="198"/>
      <c r="E3" s="199"/>
      <c r="F3" s="199"/>
      <c r="G3" s="29"/>
      <c r="H3" s="2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9"/>
      <c r="U3" s="29"/>
      <c r="V3" s="200"/>
      <c r="W3" s="200"/>
      <c r="X3" s="201"/>
      <c r="Y3" s="201"/>
      <c r="Z3" s="201"/>
      <c r="AA3" s="201"/>
      <c r="AB3" s="202"/>
      <c r="AD3" s="201"/>
      <c r="AE3" s="201"/>
      <c r="AF3" s="201"/>
      <c r="AG3" s="201"/>
      <c r="AH3" s="201"/>
      <c r="AI3" s="201"/>
      <c r="AJ3" s="202"/>
      <c r="AK3" s="203"/>
      <c r="AL3" s="202" t="s">
        <v>2</v>
      </c>
      <c r="AN3" s="205"/>
      <c r="AO3" s="201"/>
      <c r="AP3" s="206"/>
      <c r="AQ3" s="207"/>
      <c r="AR3" s="201"/>
      <c r="AS3" s="201"/>
      <c r="AT3" s="202"/>
      <c r="AV3" s="208"/>
      <c r="AW3" s="208"/>
      <c r="AX3" s="208"/>
      <c r="AY3" s="208"/>
      <c r="AZ3" s="208"/>
      <c r="BA3" s="208"/>
    </row>
    <row r="4" spans="2:53" s="197" customFormat="1" ht="15.75">
      <c r="B4" s="198"/>
      <c r="E4" s="199"/>
      <c r="F4" s="199"/>
      <c r="G4" s="29"/>
      <c r="H4" s="2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9"/>
      <c r="U4" s="29"/>
      <c r="V4" s="200"/>
      <c r="W4" s="200"/>
      <c r="X4" s="201"/>
      <c r="Y4" s="201"/>
      <c r="Z4" s="201"/>
      <c r="AA4" s="201"/>
      <c r="AB4" s="202"/>
      <c r="AD4" s="201"/>
      <c r="AE4" s="201"/>
      <c r="AF4" s="201"/>
      <c r="AG4" s="201"/>
      <c r="AH4" s="201"/>
      <c r="AI4" s="201"/>
      <c r="AJ4" s="202"/>
      <c r="AK4" s="203"/>
      <c r="AL4" s="202" t="s">
        <v>3</v>
      </c>
      <c r="AN4" s="205"/>
      <c r="AO4" s="201"/>
      <c r="AP4" s="206"/>
      <c r="AQ4" s="207"/>
      <c r="AR4" s="201"/>
      <c r="AS4" s="201"/>
      <c r="AT4" s="202"/>
      <c r="AV4" s="208"/>
      <c r="AW4" s="208"/>
      <c r="AX4" s="208"/>
      <c r="AY4" s="208"/>
      <c r="AZ4" s="208"/>
      <c r="BA4" s="208"/>
    </row>
    <row r="5" spans="2:53" s="197" customFormat="1" ht="15.75" hidden="1">
      <c r="B5" s="198"/>
      <c r="E5" s="199"/>
      <c r="F5" s="199"/>
      <c r="G5" s="29"/>
      <c r="H5" s="2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29"/>
      <c r="U5" s="29"/>
      <c r="V5" s="200"/>
      <c r="W5" s="200"/>
      <c r="X5" s="201"/>
      <c r="Y5" s="201"/>
      <c r="Z5" s="201"/>
      <c r="AA5" s="201"/>
      <c r="AB5" s="202"/>
      <c r="AD5" s="201"/>
      <c r="AE5" s="201"/>
      <c r="AF5" s="201"/>
      <c r="AG5" s="201"/>
      <c r="AH5" s="201"/>
      <c r="AI5" s="201"/>
      <c r="AJ5" s="202"/>
      <c r="AK5" s="203"/>
      <c r="AL5" s="202"/>
      <c r="AN5" s="205"/>
      <c r="AO5" s="201"/>
      <c r="AP5" s="206"/>
      <c r="AQ5" s="207"/>
      <c r="AR5" s="201"/>
      <c r="AS5" s="201"/>
      <c r="AT5" s="202"/>
      <c r="AV5" s="208"/>
      <c r="AW5" s="208"/>
      <c r="AX5" s="208"/>
      <c r="AY5" s="208"/>
      <c r="AZ5" s="208"/>
      <c r="BA5" s="208"/>
    </row>
    <row r="6" spans="2:53" s="197" customFormat="1" ht="18.75">
      <c r="B6" s="198"/>
      <c r="C6" s="645" t="s">
        <v>4</v>
      </c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45"/>
      <c r="AA6" s="645"/>
      <c r="AB6" s="645"/>
      <c r="AC6" s="645"/>
      <c r="AD6" s="645"/>
      <c r="AE6" s="645"/>
      <c r="AF6" s="645"/>
      <c r="AG6" s="645"/>
      <c r="AH6" s="645"/>
      <c r="AI6" s="645"/>
      <c r="AJ6" s="645"/>
      <c r="AK6" s="645"/>
      <c r="AL6" s="645"/>
      <c r="AM6" s="645"/>
      <c r="AN6" s="645"/>
      <c r="AO6" s="645"/>
      <c r="AP6" s="645"/>
      <c r="AQ6" s="645"/>
      <c r="AR6" s="645"/>
      <c r="AS6" s="645"/>
      <c r="AT6" s="645"/>
      <c r="AU6" s="645"/>
      <c r="AV6" s="645"/>
      <c r="AW6" s="645"/>
      <c r="AX6" s="645"/>
      <c r="AY6" s="209"/>
      <c r="AZ6" s="209"/>
      <c r="BA6" s="209"/>
    </row>
    <row r="7" spans="2:53" s="197" customFormat="1" ht="18.75">
      <c r="B7" s="198"/>
      <c r="C7" s="646" t="s">
        <v>5</v>
      </c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6"/>
      <c r="AE7" s="646"/>
      <c r="AF7" s="646"/>
      <c r="AG7" s="646"/>
      <c r="AH7" s="646"/>
      <c r="AI7" s="646"/>
      <c r="AJ7" s="646"/>
      <c r="AK7" s="646"/>
      <c r="AL7" s="646"/>
      <c r="AM7" s="646"/>
      <c r="AN7" s="646"/>
      <c r="AO7" s="646"/>
      <c r="AP7" s="646"/>
      <c r="AQ7" s="646"/>
      <c r="AR7" s="646"/>
      <c r="AS7" s="646"/>
      <c r="AT7" s="646"/>
      <c r="AU7" s="646"/>
      <c r="AV7" s="646"/>
      <c r="AW7" s="646"/>
      <c r="AX7" s="646"/>
      <c r="AY7" s="210"/>
      <c r="AZ7" s="210"/>
      <c r="BA7" s="210"/>
    </row>
    <row r="8" spans="2:53" s="197" customFormat="1" ht="18.75">
      <c r="B8" s="198"/>
      <c r="C8" s="646" t="s">
        <v>6</v>
      </c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46"/>
      <c r="AQ8" s="646"/>
      <c r="AR8" s="646"/>
      <c r="AS8" s="646"/>
      <c r="AT8" s="646"/>
      <c r="AU8" s="646"/>
      <c r="AV8" s="646"/>
      <c r="AW8" s="646"/>
      <c r="AX8" s="646"/>
      <c r="AY8" s="210"/>
      <c r="AZ8" s="210"/>
      <c r="BA8" s="210"/>
    </row>
    <row r="9" spans="2:53" s="197" customFormat="1" ht="18.75">
      <c r="B9" s="211"/>
      <c r="C9" s="647" t="s">
        <v>82</v>
      </c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7"/>
      <c r="V9" s="647"/>
      <c r="W9" s="647"/>
      <c r="X9" s="647"/>
      <c r="Y9" s="647"/>
      <c r="Z9" s="647"/>
      <c r="AA9" s="647"/>
      <c r="AB9" s="647"/>
      <c r="AC9" s="647"/>
      <c r="AD9" s="647"/>
      <c r="AE9" s="647"/>
      <c r="AF9" s="647"/>
      <c r="AG9" s="647"/>
      <c r="AH9" s="647"/>
      <c r="AI9" s="647"/>
      <c r="AJ9" s="647"/>
      <c r="AK9" s="647"/>
      <c r="AL9" s="647"/>
      <c r="AM9" s="647"/>
      <c r="AN9" s="647"/>
      <c r="AO9" s="647"/>
      <c r="AP9" s="647"/>
      <c r="AQ9" s="647"/>
      <c r="AR9" s="647"/>
      <c r="AS9" s="647"/>
      <c r="AT9" s="647"/>
      <c r="AU9" s="647"/>
      <c r="AV9" s="647"/>
      <c r="AW9" s="647"/>
      <c r="AX9" s="647"/>
      <c r="AY9" s="212"/>
      <c r="AZ9" s="212"/>
      <c r="BA9" s="212"/>
    </row>
    <row r="10" spans="2:53" s="197" customFormat="1" ht="18.75">
      <c r="B10" s="211"/>
      <c r="C10" s="647" t="s">
        <v>131</v>
      </c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7"/>
      <c r="AT10" s="647"/>
      <c r="AU10" s="647"/>
      <c r="AV10" s="647"/>
      <c r="AW10" s="647"/>
      <c r="AX10" s="647"/>
      <c r="AY10" s="212"/>
      <c r="AZ10" s="212"/>
      <c r="BA10" s="212"/>
    </row>
    <row r="11" spans="2:53" s="213" customFormat="1" ht="18.75">
      <c r="B11" s="214"/>
      <c r="C11" s="648" t="s">
        <v>7</v>
      </c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648"/>
      <c r="AQ11" s="648"/>
      <c r="AR11" s="648"/>
      <c r="AS11" s="648"/>
      <c r="AT11" s="648"/>
      <c r="AU11" s="648"/>
      <c r="AV11" s="648"/>
      <c r="AW11" s="648"/>
      <c r="AX11" s="648"/>
      <c r="AY11" s="215"/>
      <c r="AZ11" s="215"/>
      <c r="BA11" s="215"/>
    </row>
    <row r="12" spans="3:53" ht="18.75" hidden="1">
      <c r="C12" s="216"/>
      <c r="D12" s="216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6"/>
      <c r="W12" s="216"/>
      <c r="X12" s="217"/>
      <c r="Y12" s="217"/>
      <c r="Z12" s="217"/>
      <c r="AA12" s="217"/>
      <c r="AB12" s="216"/>
      <c r="AC12" s="216"/>
      <c r="AD12" s="217"/>
      <c r="AE12" s="217"/>
      <c r="AF12" s="217"/>
      <c r="AG12" s="217"/>
      <c r="AH12" s="217"/>
      <c r="AI12" s="217"/>
      <c r="AJ12" s="216"/>
      <c r="AK12" s="218"/>
      <c r="AL12" s="216"/>
      <c r="AM12" s="216"/>
      <c r="AN12" s="219"/>
      <c r="AO12" s="217"/>
      <c r="AP12" s="220"/>
      <c r="AQ12" s="221"/>
      <c r="AR12" s="222"/>
      <c r="AS12" s="222"/>
      <c r="AT12" s="221"/>
      <c r="AU12" s="222"/>
      <c r="AV12" s="222"/>
      <c r="AW12" s="222"/>
      <c r="AX12" s="222"/>
      <c r="AY12" s="222"/>
      <c r="AZ12" s="222"/>
      <c r="BA12" s="222"/>
    </row>
    <row r="13" spans="3:53" ht="20.25" customHeight="1" hidden="1">
      <c r="C13" s="223"/>
      <c r="D13" s="223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3"/>
      <c r="W13" s="223"/>
      <c r="X13" s="224"/>
      <c r="Y13" s="224"/>
      <c r="Z13" s="224"/>
      <c r="AA13" s="224"/>
      <c r="AB13" s="223"/>
      <c r="AC13" s="223"/>
      <c r="AD13" s="224"/>
      <c r="AE13" s="224"/>
      <c r="AF13" s="224"/>
      <c r="AG13" s="224"/>
      <c r="AH13" s="224"/>
      <c r="AI13" s="224"/>
      <c r="AJ13" s="223"/>
      <c r="AK13" s="225"/>
      <c r="AL13" s="223"/>
      <c r="AM13" s="223"/>
      <c r="AN13" s="226"/>
      <c r="AO13" s="224"/>
      <c r="AP13" s="649"/>
      <c r="AQ13" s="649"/>
      <c r="AR13" s="649"/>
      <c r="AS13" s="649"/>
      <c r="AT13" s="649"/>
      <c r="AU13" s="649"/>
      <c r="AV13" s="649"/>
      <c r="AW13" s="649"/>
      <c r="AX13" s="649"/>
      <c r="AY13" s="597"/>
      <c r="AZ13" s="597"/>
      <c r="BA13" s="597"/>
    </row>
    <row r="14" spans="2:53" s="1" customFormat="1" ht="29.25" customHeight="1">
      <c r="B14" s="633" t="s">
        <v>8</v>
      </c>
      <c r="C14" s="626" t="s">
        <v>9</v>
      </c>
      <c r="D14" s="626" t="s">
        <v>10</v>
      </c>
      <c r="E14" s="650" t="s">
        <v>11</v>
      </c>
      <c r="F14" s="650" t="s">
        <v>102</v>
      </c>
      <c r="G14" s="653" t="s">
        <v>12</v>
      </c>
      <c r="H14" s="653" t="s">
        <v>13</v>
      </c>
      <c r="I14" s="650" t="s">
        <v>14</v>
      </c>
      <c r="J14" s="650" t="s">
        <v>15</v>
      </c>
      <c r="K14" s="650" t="s">
        <v>16</v>
      </c>
      <c r="L14" s="654" t="s">
        <v>119</v>
      </c>
      <c r="M14" s="654"/>
      <c r="N14" s="655" t="s">
        <v>17</v>
      </c>
      <c r="O14" s="656"/>
      <c r="P14" s="656"/>
      <c r="Q14" s="656"/>
      <c r="R14" s="656"/>
      <c r="S14" s="657"/>
      <c r="T14" s="658" t="s">
        <v>18</v>
      </c>
      <c r="U14" s="658" t="s">
        <v>19</v>
      </c>
      <c r="V14" s="629" t="s">
        <v>20</v>
      </c>
      <c r="W14" s="630"/>
      <c r="X14" s="661" t="s">
        <v>21</v>
      </c>
      <c r="Y14" s="662"/>
      <c r="Z14" s="661" t="s">
        <v>22</v>
      </c>
      <c r="AA14" s="662"/>
      <c r="AB14" s="606" t="s">
        <v>23</v>
      </c>
      <c r="AC14" s="606"/>
      <c r="AD14" s="665" t="s">
        <v>71</v>
      </c>
      <c r="AE14" s="665"/>
      <c r="AF14" s="665"/>
      <c r="AG14" s="665"/>
      <c r="AH14" s="665"/>
      <c r="AI14" s="665"/>
      <c r="AJ14" s="606" t="s">
        <v>91</v>
      </c>
      <c r="AK14" s="606"/>
      <c r="AL14" s="606" t="s">
        <v>92</v>
      </c>
      <c r="AM14" s="606"/>
      <c r="AN14" s="666" t="s">
        <v>133</v>
      </c>
      <c r="AO14" s="666"/>
      <c r="AP14" s="669" t="s">
        <v>24</v>
      </c>
      <c r="AQ14" s="666" t="s">
        <v>25</v>
      </c>
      <c r="AR14" s="665"/>
      <c r="AS14" s="665"/>
      <c r="AT14" s="615" t="s">
        <v>132</v>
      </c>
      <c r="AU14" s="616"/>
      <c r="AV14" s="616"/>
      <c r="AW14" s="616"/>
      <c r="AX14" s="616"/>
      <c r="AY14" s="616"/>
      <c r="AZ14" s="616"/>
      <c r="BA14" s="617"/>
    </row>
    <row r="15" spans="2:53" s="1" customFormat="1" ht="33.75" customHeight="1">
      <c r="B15" s="634"/>
      <c r="C15" s="627"/>
      <c r="D15" s="627"/>
      <c r="E15" s="651"/>
      <c r="F15" s="651"/>
      <c r="G15" s="653"/>
      <c r="H15" s="653"/>
      <c r="I15" s="651"/>
      <c r="J15" s="651"/>
      <c r="K15" s="651"/>
      <c r="L15" s="654"/>
      <c r="M15" s="654"/>
      <c r="N15" s="655" t="s">
        <v>26</v>
      </c>
      <c r="O15" s="657"/>
      <c r="P15" s="655" t="s">
        <v>86</v>
      </c>
      <c r="Q15" s="657"/>
      <c r="R15" s="655" t="s">
        <v>87</v>
      </c>
      <c r="S15" s="657"/>
      <c r="T15" s="659"/>
      <c r="U15" s="659"/>
      <c r="V15" s="631"/>
      <c r="W15" s="632"/>
      <c r="X15" s="663"/>
      <c r="Y15" s="664"/>
      <c r="Z15" s="663"/>
      <c r="AA15" s="664"/>
      <c r="AB15" s="606"/>
      <c r="AC15" s="606"/>
      <c r="AD15" s="654" t="s">
        <v>88</v>
      </c>
      <c r="AE15" s="654"/>
      <c r="AF15" s="654" t="s">
        <v>89</v>
      </c>
      <c r="AG15" s="654"/>
      <c r="AH15" s="654" t="s">
        <v>90</v>
      </c>
      <c r="AI15" s="654"/>
      <c r="AJ15" s="606"/>
      <c r="AK15" s="606"/>
      <c r="AL15" s="606"/>
      <c r="AM15" s="606"/>
      <c r="AN15" s="666"/>
      <c r="AO15" s="666"/>
      <c r="AP15" s="669"/>
      <c r="AQ15" s="665"/>
      <c r="AR15" s="665"/>
      <c r="AS15" s="665"/>
      <c r="AT15" s="614" t="s">
        <v>27</v>
      </c>
      <c r="AU15" s="614"/>
      <c r="AV15" s="607" t="s">
        <v>28</v>
      </c>
      <c r="AW15" s="608"/>
      <c r="AX15" s="608"/>
      <c r="AY15" s="608"/>
      <c r="AZ15" s="608"/>
      <c r="BA15" s="609"/>
    </row>
    <row r="16" spans="2:53" ht="48">
      <c r="B16" s="635"/>
      <c r="C16" s="628"/>
      <c r="D16" s="628"/>
      <c r="E16" s="652"/>
      <c r="F16" s="652"/>
      <c r="G16" s="653"/>
      <c r="H16" s="653"/>
      <c r="I16" s="652"/>
      <c r="J16" s="652"/>
      <c r="K16" s="652"/>
      <c r="L16" s="596" t="s">
        <v>29</v>
      </c>
      <c r="M16" s="596" t="s">
        <v>30</v>
      </c>
      <c r="N16" s="596" t="s">
        <v>29</v>
      </c>
      <c r="O16" s="596" t="s">
        <v>30</v>
      </c>
      <c r="P16" s="596" t="s">
        <v>29</v>
      </c>
      <c r="Q16" s="596" t="s">
        <v>30</v>
      </c>
      <c r="R16" s="596" t="s">
        <v>29</v>
      </c>
      <c r="S16" s="596" t="s">
        <v>30</v>
      </c>
      <c r="T16" s="660"/>
      <c r="U16" s="660"/>
      <c r="V16" s="2" t="s">
        <v>31</v>
      </c>
      <c r="W16" s="2" t="s">
        <v>32</v>
      </c>
      <c r="X16" s="47" t="s">
        <v>31</v>
      </c>
      <c r="Y16" s="47" t="s">
        <v>32</v>
      </c>
      <c r="Z16" s="47" t="s">
        <v>31</v>
      </c>
      <c r="AA16" s="47" t="s">
        <v>32</v>
      </c>
      <c r="AB16" s="594" t="s">
        <v>33</v>
      </c>
      <c r="AC16" s="594" t="s">
        <v>34</v>
      </c>
      <c r="AD16" s="50" t="s">
        <v>29</v>
      </c>
      <c r="AE16" s="50" t="s">
        <v>30</v>
      </c>
      <c r="AF16" s="50" t="s">
        <v>29</v>
      </c>
      <c r="AG16" s="50" t="s">
        <v>30</v>
      </c>
      <c r="AH16" s="50" t="s">
        <v>29</v>
      </c>
      <c r="AI16" s="50" t="s">
        <v>30</v>
      </c>
      <c r="AJ16" s="594" t="s">
        <v>33</v>
      </c>
      <c r="AK16" s="176" t="s">
        <v>34</v>
      </c>
      <c r="AL16" s="594" t="s">
        <v>33</v>
      </c>
      <c r="AM16" s="594" t="s">
        <v>34</v>
      </c>
      <c r="AN16" s="177" t="s">
        <v>33</v>
      </c>
      <c r="AO16" s="55" t="s">
        <v>34</v>
      </c>
      <c r="AP16" s="53" t="s">
        <v>33</v>
      </c>
      <c r="AQ16" s="595" t="s">
        <v>33</v>
      </c>
      <c r="AR16" s="595" t="s">
        <v>35</v>
      </c>
      <c r="AS16" s="595" t="s">
        <v>34</v>
      </c>
      <c r="AT16" s="594" t="s">
        <v>33</v>
      </c>
      <c r="AU16" s="594" t="s">
        <v>34</v>
      </c>
      <c r="AV16" s="158" t="s">
        <v>81</v>
      </c>
      <c r="AW16" s="159" t="s">
        <v>36</v>
      </c>
      <c r="AX16" s="159" t="s">
        <v>37</v>
      </c>
      <c r="AY16" s="159" t="s">
        <v>67</v>
      </c>
      <c r="AZ16" s="159" t="s">
        <v>66</v>
      </c>
      <c r="BA16" s="159" t="s">
        <v>38</v>
      </c>
    </row>
    <row r="17" spans="2:55" s="472" customFormat="1" ht="15.75">
      <c r="B17" s="473">
        <v>1</v>
      </c>
      <c r="C17" s="388" t="s">
        <v>44</v>
      </c>
      <c r="D17" s="474" t="s">
        <v>108</v>
      </c>
      <c r="E17" s="475" t="s">
        <v>110</v>
      </c>
      <c r="F17" s="476" t="s">
        <v>112</v>
      </c>
      <c r="G17" s="391" t="s">
        <v>47</v>
      </c>
      <c r="H17" s="391" t="s">
        <v>47</v>
      </c>
      <c r="I17" s="477">
        <v>168</v>
      </c>
      <c r="J17" s="477">
        <v>200</v>
      </c>
      <c r="K17" s="477">
        <v>429.52</v>
      </c>
      <c r="L17" s="391">
        <v>33600</v>
      </c>
      <c r="M17" s="557">
        <v>14431872</v>
      </c>
      <c r="N17" s="478"/>
      <c r="O17" s="478"/>
      <c r="P17" s="478"/>
      <c r="Q17" s="478"/>
      <c r="R17" s="478"/>
      <c r="S17" s="478"/>
      <c r="T17" s="479">
        <v>1121842</v>
      </c>
      <c r="U17" s="480">
        <v>44773</v>
      </c>
      <c r="V17" s="481">
        <v>309</v>
      </c>
      <c r="W17" s="482">
        <v>43873</v>
      </c>
      <c r="X17" s="481" t="s">
        <v>113</v>
      </c>
      <c r="Y17" s="482">
        <v>43878</v>
      </c>
      <c r="Z17" s="481"/>
      <c r="AA17" s="481"/>
      <c r="AB17" s="397">
        <v>0</v>
      </c>
      <c r="AC17" s="397">
        <v>0</v>
      </c>
      <c r="AD17" s="483"/>
      <c r="AE17" s="483"/>
      <c r="AF17" s="483">
        <v>2520</v>
      </c>
      <c r="AG17" s="483">
        <v>963704.25</v>
      </c>
      <c r="AH17" s="483"/>
      <c r="AI17" s="483"/>
      <c r="AJ17" s="400">
        <f aca="true" t="shared" si="0" ref="AJ17:AK36">AD17+AF17+AH17</f>
        <v>2520</v>
      </c>
      <c r="AK17" s="403">
        <f t="shared" si="0"/>
        <v>963704.25</v>
      </c>
      <c r="AL17" s="503">
        <f aca="true" t="shared" si="1" ref="AL17:AL22">AB17+AJ17-AT17</f>
        <v>0</v>
      </c>
      <c r="AM17" s="403">
        <f aca="true" t="shared" si="2" ref="AM17:AM22">AC17+AG17-AS17</f>
        <v>963704.25</v>
      </c>
      <c r="AN17" s="504">
        <v>2520</v>
      </c>
      <c r="AO17" s="505">
        <v>963704.24999856</v>
      </c>
      <c r="AP17" s="403"/>
      <c r="AQ17" s="403"/>
      <c r="AR17" s="403">
        <v>382.422321428</v>
      </c>
      <c r="AS17" s="401">
        <f aca="true" t="shared" si="3" ref="AS17:AS22">AQ17*AR17</f>
        <v>0</v>
      </c>
      <c r="AT17" s="511">
        <f>SUM(AV17:BA17)</f>
        <v>2520</v>
      </c>
      <c r="AU17" s="403">
        <f aca="true" t="shared" si="4" ref="AU17:AU22">AR17*AT17</f>
        <v>963704.24999856</v>
      </c>
      <c r="AV17" s="598">
        <v>2520</v>
      </c>
      <c r="AW17" s="506"/>
      <c r="AX17" s="506"/>
      <c r="AY17" s="506"/>
      <c r="AZ17" s="506"/>
      <c r="BA17" s="506"/>
      <c r="BB17" s="407">
        <f aca="true" t="shared" si="5" ref="BB17:BB40">AB17+AJ17-AL17</f>
        <v>2520</v>
      </c>
      <c r="BC17" s="407">
        <f aca="true" t="shared" si="6" ref="BC17:BC40">BB17-AT17</f>
        <v>0</v>
      </c>
    </row>
    <row r="18" spans="2:55" s="472" customFormat="1" ht="15.75">
      <c r="B18" s="473"/>
      <c r="C18" s="388" t="s">
        <v>44</v>
      </c>
      <c r="D18" s="474" t="s">
        <v>128</v>
      </c>
      <c r="E18" s="475" t="s">
        <v>110</v>
      </c>
      <c r="F18" s="476" t="s">
        <v>112</v>
      </c>
      <c r="G18" s="391" t="s">
        <v>47</v>
      </c>
      <c r="H18" s="391" t="s">
        <v>47</v>
      </c>
      <c r="I18" s="477"/>
      <c r="J18" s="477"/>
      <c r="K18" s="477"/>
      <c r="L18" s="391"/>
      <c r="M18" s="557"/>
      <c r="N18" s="478"/>
      <c r="O18" s="478"/>
      <c r="P18" s="478"/>
      <c r="Q18" s="478"/>
      <c r="R18" s="478"/>
      <c r="S18" s="478"/>
      <c r="T18" s="479">
        <v>1121842</v>
      </c>
      <c r="U18" s="480">
        <v>44773</v>
      </c>
      <c r="V18" s="481">
        <v>816</v>
      </c>
      <c r="W18" s="482">
        <v>43928</v>
      </c>
      <c r="X18" s="481" t="s">
        <v>130</v>
      </c>
      <c r="Y18" s="482">
        <v>43934</v>
      </c>
      <c r="Z18" s="481"/>
      <c r="AA18" s="481"/>
      <c r="AB18" s="397">
        <v>0</v>
      </c>
      <c r="AC18" s="397">
        <v>0</v>
      </c>
      <c r="AD18" s="483"/>
      <c r="AE18" s="483"/>
      <c r="AF18" s="483">
        <v>2912</v>
      </c>
      <c r="AG18" s="483">
        <v>1113613.8</v>
      </c>
      <c r="AH18" s="483"/>
      <c r="AI18" s="483"/>
      <c r="AJ18" s="400">
        <f>AD18+AF18+AH18</f>
        <v>2912</v>
      </c>
      <c r="AK18" s="403">
        <f>AE18+AG18+AI18</f>
        <v>1113613.8</v>
      </c>
      <c r="AL18" s="503">
        <f t="shared" si="1"/>
        <v>0</v>
      </c>
      <c r="AM18" s="403">
        <f t="shared" si="2"/>
        <v>1113613.8</v>
      </c>
      <c r="AN18" s="504">
        <v>2912</v>
      </c>
      <c r="AO18" s="505">
        <v>0</v>
      </c>
      <c r="AP18" s="403"/>
      <c r="AQ18" s="403"/>
      <c r="AR18" s="403">
        <v>382.4223214285714</v>
      </c>
      <c r="AS18" s="401">
        <f t="shared" si="3"/>
        <v>0</v>
      </c>
      <c r="AT18" s="511">
        <f>SUM(AV18:BA18)</f>
        <v>2912</v>
      </c>
      <c r="AU18" s="403">
        <f t="shared" si="4"/>
        <v>1113613.8</v>
      </c>
      <c r="AV18" s="598">
        <v>2912</v>
      </c>
      <c r="AW18" s="506"/>
      <c r="AX18" s="506"/>
      <c r="AY18" s="506"/>
      <c r="AZ18" s="506"/>
      <c r="BA18" s="506"/>
      <c r="BB18" s="407">
        <f aca="true" t="shared" si="7" ref="BB18:BB25">AB18+AJ18-AL18</f>
        <v>2912</v>
      </c>
      <c r="BC18" s="407">
        <f aca="true" t="shared" si="8" ref="BC18:BC25">BB18-AT18</f>
        <v>0</v>
      </c>
    </row>
    <row r="19" spans="2:55" s="484" customFormat="1" ht="15.75">
      <c r="B19" s="485">
        <v>2</v>
      </c>
      <c r="C19" s="486" t="s">
        <v>44</v>
      </c>
      <c r="D19" s="487" t="s">
        <v>109</v>
      </c>
      <c r="E19" s="488" t="s">
        <v>111</v>
      </c>
      <c r="F19" s="489" t="s">
        <v>112</v>
      </c>
      <c r="G19" s="490" t="s">
        <v>47</v>
      </c>
      <c r="H19" s="490" t="s">
        <v>47</v>
      </c>
      <c r="I19" s="491">
        <v>168</v>
      </c>
      <c r="J19" s="491">
        <v>200</v>
      </c>
      <c r="K19" s="491">
        <v>37.37</v>
      </c>
      <c r="L19" s="490">
        <v>33600</v>
      </c>
      <c r="M19" s="558">
        <v>1255632</v>
      </c>
      <c r="N19" s="492"/>
      <c r="O19" s="492"/>
      <c r="P19" s="492"/>
      <c r="Q19" s="492"/>
      <c r="R19" s="492"/>
      <c r="S19" s="492"/>
      <c r="T19" s="493">
        <v>1121711</v>
      </c>
      <c r="U19" s="494">
        <v>44712</v>
      </c>
      <c r="V19" s="495">
        <v>309</v>
      </c>
      <c r="W19" s="496">
        <v>43873</v>
      </c>
      <c r="X19" s="495" t="s">
        <v>113</v>
      </c>
      <c r="Y19" s="496">
        <v>43878</v>
      </c>
      <c r="Z19" s="495"/>
      <c r="AA19" s="495"/>
      <c r="AB19" s="497">
        <v>0</v>
      </c>
      <c r="AC19" s="497">
        <v>0</v>
      </c>
      <c r="AD19" s="498"/>
      <c r="AE19" s="498"/>
      <c r="AF19" s="498">
        <v>2520</v>
      </c>
      <c r="AG19" s="498">
        <v>83795.85</v>
      </c>
      <c r="AH19" s="498"/>
      <c r="AI19" s="498"/>
      <c r="AJ19" s="499">
        <f t="shared" si="0"/>
        <v>2520</v>
      </c>
      <c r="AK19" s="500">
        <f t="shared" si="0"/>
        <v>83795.85</v>
      </c>
      <c r="AL19" s="507">
        <f t="shared" si="1"/>
        <v>0</v>
      </c>
      <c r="AM19" s="500">
        <f t="shared" si="2"/>
        <v>83795.85</v>
      </c>
      <c r="AN19" s="508">
        <v>2520</v>
      </c>
      <c r="AO19" s="509">
        <v>83795.85000107999</v>
      </c>
      <c r="AP19" s="500"/>
      <c r="AQ19" s="500"/>
      <c r="AR19" s="500">
        <v>33.252321429</v>
      </c>
      <c r="AS19" s="501">
        <f t="shared" si="3"/>
        <v>0</v>
      </c>
      <c r="AT19" s="512">
        <f>SUM(AV19:BA19)</f>
        <v>2520</v>
      </c>
      <c r="AU19" s="500">
        <f t="shared" si="4"/>
        <v>83795.85000107999</v>
      </c>
      <c r="AV19" s="599">
        <v>2520</v>
      </c>
      <c r="AW19" s="510"/>
      <c r="AX19" s="510"/>
      <c r="AY19" s="510"/>
      <c r="AZ19" s="510"/>
      <c r="BA19" s="510"/>
      <c r="BB19" s="407">
        <f t="shared" si="7"/>
        <v>2520</v>
      </c>
      <c r="BC19" s="407">
        <f t="shared" si="8"/>
        <v>0</v>
      </c>
    </row>
    <row r="20" spans="2:55" s="484" customFormat="1" ht="15.75">
      <c r="B20" s="485"/>
      <c r="C20" s="486" t="s">
        <v>44</v>
      </c>
      <c r="D20" s="487" t="s">
        <v>129</v>
      </c>
      <c r="E20" s="488" t="s">
        <v>111</v>
      </c>
      <c r="F20" s="489" t="s">
        <v>112</v>
      </c>
      <c r="G20" s="490" t="s">
        <v>47</v>
      </c>
      <c r="H20" s="490" t="s">
        <v>47</v>
      </c>
      <c r="I20" s="491"/>
      <c r="J20" s="491"/>
      <c r="K20" s="491"/>
      <c r="L20" s="490"/>
      <c r="M20" s="558"/>
      <c r="N20" s="492"/>
      <c r="O20" s="492"/>
      <c r="P20" s="492"/>
      <c r="Q20" s="492"/>
      <c r="R20" s="492"/>
      <c r="S20" s="492"/>
      <c r="T20" s="493">
        <v>1121711</v>
      </c>
      <c r="U20" s="494">
        <v>44712</v>
      </c>
      <c r="V20" s="481">
        <v>816</v>
      </c>
      <c r="W20" s="482">
        <v>43928</v>
      </c>
      <c r="X20" s="481" t="s">
        <v>130</v>
      </c>
      <c r="Y20" s="482">
        <v>43934</v>
      </c>
      <c r="Z20" s="495"/>
      <c r="AA20" s="495"/>
      <c r="AB20" s="497">
        <v>0</v>
      </c>
      <c r="AC20" s="497">
        <v>0</v>
      </c>
      <c r="AD20" s="498"/>
      <c r="AE20" s="498"/>
      <c r="AF20" s="498">
        <v>2912</v>
      </c>
      <c r="AG20" s="498">
        <v>95583.8</v>
      </c>
      <c r="AH20" s="498"/>
      <c r="AI20" s="498"/>
      <c r="AJ20" s="499">
        <f>AD20+AF20+AH20</f>
        <v>2912</v>
      </c>
      <c r="AK20" s="500">
        <f>AE20+AG20+AI20</f>
        <v>95583.8</v>
      </c>
      <c r="AL20" s="507">
        <f t="shared" si="1"/>
        <v>0</v>
      </c>
      <c r="AM20" s="500">
        <f t="shared" si="2"/>
        <v>95583.8</v>
      </c>
      <c r="AN20" s="508">
        <v>2912</v>
      </c>
      <c r="AO20" s="509">
        <v>0</v>
      </c>
      <c r="AP20" s="500"/>
      <c r="AQ20" s="500"/>
      <c r="AR20" s="500">
        <v>32.824107142857144</v>
      </c>
      <c r="AS20" s="501">
        <f t="shared" si="3"/>
        <v>0</v>
      </c>
      <c r="AT20" s="512">
        <f>SUM(AV20:BA20)</f>
        <v>2912</v>
      </c>
      <c r="AU20" s="500">
        <f t="shared" si="4"/>
        <v>95583.8</v>
      </c>
      <c r="AV20" s="599">
        <v>2912</v>
      </c>
      <c r="AW20" s="510"/>
      <c r="AX20" s="510"/>
      <c r="AY20" s="510"/>
      <c r="AZ20" s="510"/>
      <c r="BA20" s="510"/>
      <c r="BB20" s="407">
        <f t="shared" si="7"/>
        <v>2912</v>
      </c>
      <c r="BC20" s="407">
        <f t="shared" si="8"/>
        <v>0</v>
      </c>
    </row>
    <row r="21" spans="2:55" s="144" customFormat="1" ht="15.75">
      <c r="B21" s="365">
        <v>3</v>
      </c>
      <c r="C21" s="131" t="s">
        <v>44</v>
      </c>
      <c r="D21" s="145" t="s">
        <v>75</v>
      </c>
      <c r="E21" s="470" t="s">
        <v>69</v>
      </c>
      <c r="F21" s="471" t="s">
        <v>104</v>
      </c>
      <c r="G21" s="134" t="s">
        <v>47</v>
      </c>
      <c r="H21" s="134" t="s">
        <v>47</v>
      </c>
      <c r="I21" s="561">
        <v>84</v>
      </c>
      <c r="J21" s="561">
        <v>895</v>
      </c>
      <c r="K21" s="559">
        <v>249.07</v>
      </c>
      <c r="L21" s="562">
        <f>I21*J21</f>
        <v>75180</v>
      </c>
      <c r="M21" s="559">
        <f>K21*L21</f>
        <v>18725082.599999998</v>
      </c>
      <c r="N21" s="135"/>
      <c r="O21" s="135"/>
      <c r="P21" s="135"/>
      <c r="Q21" s="135"/>
      <c r="R21" s="135"/>
      <c r="S21" s="135"/>
      <c r="T21" s="132">
        <v>3098197</v>
      </c>
      <c r="U21" s="136">
        <v>44104</v>
      </c>
      <c r="V21" s="137">
        <v>1571</v>
      </c>
      <c r="W21" s="138">
        <v>43654</v>
      </c>
      <c r="X21" s="137" t="s">
        <v>76</v>
      </c>
      <c r="Y21" s="138">
        <v>43668</v>
      </c>
      <c r="Z21" s="137"/>
      <c r="AA21" s="137"/>
      <c r="AB21" s="139">
        <v>1064</v>
      </c>
      <c r="AC21" s="139">
        <v>33679.779999544</v>
      </c>
      <c r="AD21" s="140"/>
      <c r="AE21" s="140"/>
      <c r="AF21" s="140"/>
      <c r="AG21" s="140"/>
      <c r="AH21" s="140"/>
      <c r="AI21" s="140"/>
      <c r="AJ21" s="141">
        <f t="shared" si="0"/>
        <v>0</v>
      </c>
      <c r="AK21" s="178">
        <f t="shared" si="0"/>
        <v>0</v>
      </c>
      <c r="AL21" s="141">
        <f t="shared" si="1"/>
        <v>1064</v>
      </c>
      <c r="AM21" s="142">
        <f t="shared" si="2"/>
        <v>33679.779999544</v>
      </c>
      <c r="AN21" s="179">
        <v>0</v>
      </c>
      <c r="AO21" s="142">
        <v>15067.269999796</v>
      </c>
      <c r="AP21" s="143"/>
      <c r="AQ21" s="139"/>
      <c r="AR21" s="139">
        <v>31.653928571</v>
      </c>
      <c r="AS21" s="142">
        <f t="shared" si="3"/>
        <v>0</v>
      </c>
      <c r="AT21" s="141">
        <f>SUM(AV21:BA21)</f>
        <v>0</v>
      </c>
      <c r="AU21" s="142">
        <f t="shared" si="4"/>
        <v>0</v>
      </c>
      <c r="AV21" s="139">
        <f>1064-1064</f>
        <v>0</v>
      </c>
      <c r="AW21" s="131"/>
      <c r="AX21" s="131">
        <f>1064-588-476</f>
        <v>0</v>
      </c>
      <c r="AY21" s="131"/>
      <c r="AZ21" s="131"/>
      <c r="BA21" s="131"/>
      <c r="BB21" s="407">
        <f t="shared" si="7"/>
        <v>0</v>
      </c>
      <c r="BC21" s="407">
        <f t="shared" si="8"/>
        <v>0</v>
      </c>
    </row>
    <row r="22" spans="2:55" s="144" customFormat="1" ht="15.75">
      <c r="B22" s="365">
        <v>4</v>
      </c>
      <c r="C22" s="131" t="s">
        <v>44</v>
      </c>
      <c r="D22" s="145" t="s">
        <v>95</v>
      </c>
      <c r="E22" s="470" t="s">
        <v>69</v>
      </c>
      <c r="F22" s="471" t="s">
        <v>104</v>
      </c>
      <c r="G22" s="134" t="s">
        <v>47</v>
      </c>
      <c r="H22" s="134" t="s">
        <v>47</v>
      </c>
      <c r="I22" s="133"/>
      <c r="J22" s="133"/>
      <c r="K22" s="133"/>
      <c r="L22" s="134"/>
      <c r="M22" s="559"/>
      <c r="N22" s="135"/>
      <c r="O22" s="135"/>
      <c r="P22" s="135"/>
      <c r="Q22" s="135"/>
      <c r="R22" s="135"/>
      <c r="S22" s="135"/>
      <c r="T22" s="132">
        <v>3106643</v>
      </c>
      <c r="U22" s="136">
        <v>44377</v>
      </c>
      <c r="V22" s="137">
        <v>79</v>
      </c>
      <c r="W22" s="138">
        <v>43845</v>
      </c>
      <c r="X22" s="137" t="s">
        <v>96</v>
      </c>
      <c r="Y22" s="138">
        <v>43857</v>
      </c>
      <c r="Z22" s="137"/>
      <c r="AA22" s="137"/>
      <c r="AB22" s="139">
        <v>0</v>
      </c>
      <c r="AC22" s="139">
        <v>0</v>
      </c>
      <c r="AD22" s="140">
        <v>588</v>
      </c>
      <c r="AE22" s="140">
        <v>18847.29</v>
      </c>
      <c r="AF22" s="140"/>
      <c r="AG22" s="140"/>
      <c r="AH22" s="140"/>
      <c r="AI22" s="140"/>
      <c r="AJ22" s="141">
        <f t="shared" si="0"/>
        <v>588</v>
      </c>
      <c r="AK22" s="178">
        <f t="shared" si="0"/>
        <v>18847.29</v>
      </c>
      <c r="AL22" s="141">
        <f t="shared" si="1"/>
        <v>308</v>
      </c>
      <c r="AM22" s="142">
        <f t="shared" si="2"/>
        <v>0</v>
      </c>
      <c r="AN22" s="179">
        <v>280</v>
      </c>
      <c r="AO22" s="142">
        <v>18847.290000168</v>
      </c>
      <c r="AP22" s="143"/>
      <c r="AQ22" s="139"/>
      <c r="AR22" s="139">
        <v>32.053214286</v>
      </c>
      <c r="AS22" s="142">
        <f t="shared" si="3"/>
        <v>0</v>
      </c>
      <c r="AT22" s="141">
        <f aca="true" t="shared" si="9" ref="AT22:AT34">SUM(AV22:BA22)</f>
        <v>280</v>
      </c>
      <c r="AU22" s="142">
        <f t="shared" si="4"/>
        <v>8974.90000008</v>
      </c>
      <c r="AV22" s="139">
        <f>588-588</f>
        <v>0</v>
      </c>
      <c r="AW22" s="131"/>
      <c r="AX22" s="131">
        <f>588-308</f>
        <v>280</v>
      </c>
      <c r="AY22" s="131"/>
      <c r="AZ22" s="131"/>
      <c r="BA22" s="131"/>
      <c r="BB22" s="407">
        <f t="shared" si="7"/>
        <v>280</v>
      </c>
      <c r="BC22" s="407">
        <f t="shared" si="8"/>
        <v>0</v>
      </c>
    </row>
    <row r="23" spans="2:55" s="520" customFormat="1" ht="15.75" hidden="1">
      <c r="B23" s="521"/>
      <c r="C23" s="522"/>
      <c r="D23" s="523" t="s">
        <v>117</v>
      </c>
      <c r="E23" s="540" t="s">
        <v>39</v>
      </c>
      <c r="F23" s="524"/>
      <c r="G23" s="525" t="s">
        <v>118</v>
      </c>
      <c r="H23" s="525" t="s">
        <v>118</v>
      </c>
      <c r="I23" s="526">
        <v>504</v>
      </c>
      <c r="J23" s="526">
        <v>895</v>
      </c>
      <c r="K23" s="526">
        <v>2.79</v>
      </c>
      <c r="L23" s="525">
        <v>451080</v>
      </c>
      <c r="M23" s="560">
        <v>1258513.2</v>
      </c>
      <c r="N23" s="527"/>
      <c r="O23" s="527"/>
      <c r="P23" s="527"/>
      <c r="Q23" s="527"/>
      <c r="R23" s="527"/>
      <c r="S23" s="527"/>
      <c r="T23" s="528"/>
      <c r="U23" s="529"/>
      <c r="V23" s="530"/>
      <c r="W23" s="531"/>
      <c r="X23" s="530"/>
      <c r="Y23" s="531"/>
      <c r="Z23" s="530"/>
      <c r="AA23" s="530"/>
      <c r="AB23" s="532">
        <v>0</v>
      </c>
      <c r="AC23" s="532">
        <v>0</v>
      </c>
      <c r="AD23" s="533"/>
      <c r="AE23" s="533"/>
      <c r="AF23" s="533"/>
      <c r="AG23" s="533"/>
      <c r="AH23" s="533"/>
      <c r="AI23" s="533"/>
      <c r="AJ23" s="534">
        <v>0</v>
      </c>
      <c r="AK23" s="535">
        <v>0</v>
      </c>
      <c r="AL23" s="534">
        <v>0</v>
      </c>
      <c r="AM23" s="536">
        <v>0</v>
      </c>
      <c r="AN23" s="537">
        <v>0</v>
      </c>
      <c r="AO23" s="536">
        <v>0</v>
      </c>
      <c r="AP23" s="538"/>
      <c r="AQ23" s="532"/>
      <c r="AR23" s="532">
        <v>0</v>
      </c>
      <c r="AS23" s="536">
        <v>0</v>
      </c>
      <c r="AT23" s="534">
        <v>0</v>
      </c>
      <c r="AU23" s="536">
        <v>0</v>
      </c>
      <c r="AV23" s="532">
        <v>0</v>
      </c>
      <c r="AW23" s="522"/>
      <c r="AX23" s="522"/>
      <c r="AY23" s="522"/>
      <c r="AZ23" s="522"/>
      <c r="BA23" s="522"/>
      <c r="BB23" s="407">
        <f t="shared" si="7"/>
        <v>0</v>
      </c>
      <c r="BC23" s="407">
        <f t="shared" si="8"/>
        <v>0</v>
      </c>
    </row>
    <row r="24" spans="2:55" s="563" customFormat="1" ht="15.75">
      <c r="B24" s="564"/>
      <c r="C24" s="565" t="s">
        <v>44</v>
      </c>
      <c r="D24" s="566" t="s">
        <v>120</v>
      </c>
      <c r="E24" s="567" t="s">
        <v>42</v>
      </c>
      <c r="F24" s="568" t="s">
        <v>121</v>
      </c>
      <c r="G24" s="569" t="s">
        <v>122</v>
      </c>
      <c r="H24" s="569" t="s">
        <v>122</v>
      </c>
      <c r="I24" s="570"/>
      <c r="J24" s="570"/>
      <c r="K24" s="570"/>
      <c r="L24" s="569"/>
      <c r="M24" s="571"/>
      <c r="N24" s="572"/>
      <c r="O24" s="572"/>
      <c r="P24" s="572"/>
      <c r="Q24" s="572"/>
      <c r="R24" s="572"/>
      <c r="S24" s="572"/>
      <c r="T24" s="573" t="s">
        <v>123</v>
      </c>
      <c r="U24" s="574">
        <v>45017</v>
      </c>
      <c r="V24" s="575">
        <v>609</v>
      </c>
      <c r="W24" s="576">
        <v>43892</v>
      </c>
      <c r="X24" s="575" t="s">
        <v>124</v>
      </c>
      <c r="Y24" s="576">
        <v>43906</v>
      </c>
      <c r="Z24" s="575"/>
      <c r="AA24" s="575"/>
      <c r="AB24" s="577">
        <v>0</v>
      </c>
      <c r="AC24" s="577">
        <v>0</v>
      </c>
      <c r="AD24" s="578"/>
      <c r="AE24" s="578"/>
      <c r="AF24" s="578">
        <v>96</v>
      </c>
      <c r="AG24" s="578">
        <v>310796.16</v>
      </c>
      <c r="AH24" s="578"/>
      <c r="AI24" s="578"/>
      <c r="AJ24" s="579">
        <f>AD24+AF24+AH24</f>
        <v>96</v>
      </c>
      <c r="AK24" s="580">
        <f>AE24+AG24+AI24</f>
        <v>310796.16</v>
      </c>
      <c r="AL24" s="579">
        <f>AB24+AJ24-AT24</f>
        <v>0</v>
      </c>
      <c r="AM24" s="581">
        <f>AC24+AK24-AU24</f>
        <v>0</v>
      </c>
      <c r="AN24" s="582">
        <v>96</v>
      </c>
      <c r="AO24" s="581">
        <v>0</v>
      </c>
      <c r="AP24" s="583"/>
      <c r="AQ24" s="577"/>
      <c r="AR24" s="577">
        <v>3237.46</v>
      </c>
      <c r="AS24" s="581">
        <v>0</v>
      </c>
      <c r="AT24" s="579">
        <f>SUM(AV24:BA24)</f>
        <v>96</v>
      </c>
      <c r="AU24" s="581">
        <f>AR24*AT24</f>
        <v>310796.16000000003</v>
      </c>
      <c r="AV24" s="577">
        <v>96</v>
      </c>
      <c r="AW24" s="565"/>
      <c r="AX24" s="565"/>
      <c r="AY24" s="565"/>
      <c r="AZ24" s="565"/>
      <c r="BA24" s="565"/>
      <c r="BB24" s="407">
        <f t="shared" si="7"/>
        <v>96</v>
      </c>
      <c r="BC24" s="407">
        <f t="shared" si="8"/>
        <v>0</v>
      </c>
    </row>
    <row r="25" spans="2:55" s="228" customFormat="1" ht="15.75">
      <c r="B25" s="584">
        <v>5</v>
      </c>
      <c r="C25" s="36" t="s">
        <v>44</v>
      </c>
      <c r="D25" s="65" t="s">
        <v>41</v>
      </c>
      <c r="E25" s="66" t="s">
        <v>42</v>
      </c>
      <c r="F25" s="30" t="s">
        <v>103</v>
      </c>
      <c r="G25" s="67" t="s">
        <v>43</v>
      </c>
      <c r="H25" s="67" t="s">
        <v>43</v>
      </c>
      <c r="I25" s="541">
        <v>24</v>
      </c>
      <c r="J25" s="541">
        <v>152</v>
      </c>
      <c r="K25" s="542">
        <v>2509.02</v>
      </c>
      <c r="L25" s="543">
        <v>3648</v>
      </c>
      <c r="M25" s="542">
        <v>9152904.96</v>
      </c>
      <c r="N25" s="68"/>
      <c r="O25" s="69"/>
      <c r="P25" s="68"/>
      <c r="Q25" s="69"/>
      <c r="R25" s="68"/>
      <c r="S25" s="69"/>
      <c r="T25" s="64" t="s">
        <v>45</v>
      </c>
      <c r="U25" s="70">
        <v>44682</v>
      </c>
      <c r="V25" s="71">
        <v>1865</v>
      </c>
      <c r="W25" s="72">
        <v>43390</v>
      </c>
      <c r="X25" s="71" t="s">
        <v>46</v>
      </c>
      <c r="Y25" s="73">
        <v>43395</v>
      </c>
      <c r="Z25" s="71"/>
      <c r="AA25" s="73"/>
      <c r="AB25" s="76">
        <v>3</v>
      </c>
      <c r="AC25" s="74">
        <v>8009.88</v>
      </c>
      <c r="AD25" s="75"/>
      <c r="AE25" s="74"/>
      <c r="AF25" s="75"/>
      <c r="AG25" s="74"/>
      <c r="AH25" s="75"/>
      <c r="AI25" s="74"/>
      <c r="AJ25" s="76">
        <f t="shared" si="0"/>
        <v>0</v>
      </c>
      <c r="AK25" s="180">
        <f t="shared" si="0"/>
        <v>0</v>
      </c>
      <c r="AL25" s="76">
        <f aca="true" t="shared" si="10" ref="AL25:AM37">AB25+AJ25-AT25</f>
        <v>3</v>
      </c>
      <c r="AM25" s="74">
        <f>AC25+AK25-AU25</f>
        <v>8009.88</v>
      </c>
      <c r="AN25" s="181">
        <v>0</v>
      </c>
      <c r="AO25" s="74">
        <v>0</v>
      </c>
      <c r="AP25" s="77"/>
      <c r="AQ25" s="76"/>
      <c r="AR25" s="74">
        <v>2669.96</v>
      </c>
      <c r="AS25" s="74">
        <f aca="true" t="shared" si="11" ref="AS25:AS37">AQ25*AR25</f>
        <v>0</v>
      </c>
      <c r="AT25" s="76">
        <f t="shared" si="9"/>
        <v>0</v>
      </c>
      <c r="AU25" s="74">
        <f aca="true" t="shared" si="12" ref="AU25:AU34">AR25*AT25</f>
        <v>0</v>
      </c>
      <c r="AV25" s="76">
        <f>16-12-4</f>
        <v>0</v>
      </c>
      <c r="AW25" s="76">
        <v>0</v>
      </c>
      <c r="AX25" s="76">
        <f>4-1-3</f>
        <v>0</v>
      </c>
      <c r="AY25" s="76"/>
      <c r="AZ25" s="76"/>
      <c r="BA25" s="76"/>
      <c r="BB25" s="407">
        <f t="shared" si="7"/>
        <v>0</v>
      </c>
      <c r="BC25" s="407">
        <f t="shared" si="8"/>
        <v>0</v>
      </c>
    </row>
    <row r="26" spans="2:55" s="229" customFormat="1" ht="15.75">
      <c r="B26" s="431">
        <v>6</v>
      </c>
      <c r="C26" s="80" t="s">
        <v>44</v>
      </c>
      <c r="D26" s="81" t="s">
        <v>68</v>
      </c>
      <c r="E26" s="82" t="s">
        <v>69</v>
      </c>
      <c r="F26" s="432" t="s">
        <v>104</v>
      </c>
      <c r="G26" s="83" t="s">
        <v>47</v>
      </c>
      <c r="H26" s="83" t="s">
        <v>47</v>
      </c>
      <c r="I26" s="544"/>
      <c r="J26" s="544"/>
      <c r="K26" s="545"/>
      <c r="L26" s="546"/>
      <c r="M26" s="545"/>
      <c r="N26" s="84"/>
      <c r="O26" s="87"/>
      <c r="P26" s="84"/>
      <c r="Q26" s="87"/>
      <c r="R26" s="84"/>
      <c r="S26" s="87"/>
      <c r="T26" s="80">
        <v>3093642</v>
      </c>
      <c r="U26" s="88">
        <v>44196</v>
      </c>
      <c r="V26" s="89">
        <v>1024</v>
      </c>
      <c r="W26" s="90">
        <v>43589</v>
      </c>
      <c r="X26" s="89" t="s">
        <v>70</v>
      </c>
      <c r="Y26" s="91">
        <v>43598</v>
      </c>
      <c r="Z26" s="89"/>
      <c r="AA26" s="91"/>
      <c r="AB26" s="92">
        <v>84</v>
      </c>
      <c r="AC26" s="93">
        <v>1632.630000036</v>
      </c>
      <c r="AD26" s="94"/>
      <c r="AE26" s="93"/>
      <c r="AF26" s="92"/>
      <c r="AG26" s="93"/>
      <c r="AH26" s="94"/>
      <c r="AI26" s="93"/>
      <c r="AJ26" s="92">
        <f t="shared" si="0"/>
        <v>0</v>
      </c>
      <c r="AK26" s="182">
        <f aca="true" t="shared" si="13" ref="AK26:AK34">AI26+AG26+AE26</f>
        <v>0</v>
      </c>
      <c r="AL26" s="92">
        <f t="shared" si="10"/>
        <v>84</v>
      </c>
      <c r="AM26" s="93">
        <f t="shared" si="10"/>
        <v>1632.630000036</v>
      </c>
      <c r="AN26" s="183">
        <v>0</v>
      </c>
      <c r="AO26" s="93">
        <v>0</v>
      </c>
      <c r="AP26" s="95"/>
      <c r="AQ26" s="92"/>
      <c r="AR26" s="93">
        <v>19.436071429</v>
      </c>
      <c r="AS26" s="93">
        <f aca="true" t="shared" si="14" ref="AS26:AS31">AR26*AQ26</f>
        <v>0</v>
      </c>
      <c r="AT26" s="92">
        <f t="shared" si="9"/>
        <v>0</v>
      </c>
      <c r="AU26" s="93">
        <f t="shared" si="12"/>
        <v>0</v>
      </c>
      <c r="AV26" s="92">
        <f>2156-1008-1148</f>
        <v>0</v>
      </c>
      <c r="AW26" s="92"/>
      <c r="AX26" s="92">
        <f>1008-168-336-364+1148-252-476-476-84</f>
        <v>0</v>
      </c>
      <c r="AY26" s="92"/>
      <c r="AZ26" s="92"/>
      <c r="BA26" s="92"/>
      <c r="BB26" s="96">
        <f t="shared" si="5"/>
        <v>0</v>
      </c>
      <c r="BC26" s="79">
        <f t="shared" si="6"/>
        <v>0</v>
      </c>
    </row>
    <row r="27" spans="2:55" s="469" customFormat="1" ht="15.75">
      <c r="B27" s="409">
        <v>7</v>
      </c>
      <c r="C27" s="410" t="s">
        <v>44</v>
      </c>
      <c r="D27" s="411" t="s">
        <v>83</v>
      </c>
      <c r="E27" s="468" t="s">
        <v>69</v>
      </c>
      <c r="F27" s="412" t="s">
        <v>104</v>
      </c>
      <c r="G27" s="413" t="s">
        <v>47</v>
      </c>
      <c r="H27" s="413" t="s">
        <v>47</v>
      </c>
      <c r="I27" s="547"/>
      <c r="J27" s="547"/>
      <c r="K27" s="548"/>
      <c r="L27" s="549"/>
      <c r="M27" s="548"/>
      <c r="N27" s="414"/>
      <c r="O27" s="417"/>
      <c r="P27" s="414"/>
      <c r="Q27" s="417"/>
      <c r="R27" s="414"/>
      <c r="S27" s="417"/>
      <c r="T27" s="410">
        <v>3100242</v>
      </c>
      <c r="U27" s="418">
        <v>44316</v>
      </c>
      <c r="V27" s="419">
        <v>1569</v>
      </c>
      <c r="W27" s="420">
        <v>43654</v>
      </c>
      <c r="X27" s="419" t="s">
        <v>73</v>
      </c>
      <c r="Y27" s="421">
        <v>43668</v>
      </c>
      <c r="Z27" s="419"/>
      <c r="AA27" s="421"/>
      <c r="AB27" s="422">
        <v>308</v>
      </c>
      <c r="AC27" s="423">
        <v>28643.340000044</v>
      </c>
      <c r="AD27" s="424"/>
      <c r="AE27" s="423"/>
      <c r="AF27" s="422"/>
      <c r="AG27" s="423"/>
      <c r="AH27" s="424"/>
      <c r="AI27" s="423"/>
      <c r="AJ27" s="422">
        <f t="shared" si="0"/>
        <v>0</v>
      </c>
      <c r="AK27" s="425">
        <f t="shared" si="13"/>
        <v>0</v>
      </c>
      <c r="AL27" s="422">
        <f t="shared" si="10"/>
        <v>308</v>
      </c>
      <c r="AM27" s="423">
        <f t="shared" si="10"/>
        <v>28643.340000044</v>
      </c>
      <c r="AN27" s="426">
        <v>0</v>
      </c>
      <c r="AO27" s="423">
        <v>0</v>
      </c>
      <c r="AP27" s="427"/>
      <c r="AQ27" s="422"/>
      <c r="AR27" s="423">
        <v>92.997857143</v>
      </c>
      <c r="AS27" s="423">
        <f t="shared" si="14"/>
        <v>0</v>
      </c>
      <c r="AT27" s="422">
        <f t="shared" si="9"/>
        <v>0</v>
      </c>
      <c r="AU27" s="423">
        <f t="shared" si="12"/>
        <v>0</v>
      </c>
      <c r="AV27" s="422">
        <v>0</v>
      </c>
      <c r="AW27" s="422"/>
      <c r="AX27" s="422">
        <f>308-308</f>
        <v>0</v>
      </c>
      <c r="AY27" s="422"/>
      <c r="AZ27" s="422"/>
      <c r="BA27" s="422"/>
      <c r="BB27" s="429">
        <f t="shared" si="5"/>
        <v>0</v>
      </c>
      <c r="BC27" s="429">
        <f t="shared" si="6"/>
        <v>0</v>
      </c>
    </row>
    <row r="28" spans="2:55" s="469" customFormat="1" ht="15.75">
      <c r="B28" s="409">
        <v>8</v>
      </c>
      <c r="C28" s="410" t="s">
        <v>44</v>
      </c>
      <c r="D28" s="411" t="s">
        <v>83</v>
      </c>
      <c r="E28" s="468" t="s">
        <v>69</v>
      </c>
      <c r="F28" s="412" t="s">
        <v>104</v>
      </c>
      <c r="G28" s="413" t="s">
        <v>47</v>
      </c>
      <c r="H28" s="413" t="s">
        <v>47</v>
      </c>
      <c r="I28" s="547"/>
      <c r="J28" s="547"/>
      <c r="K28" s="548"/>
      <c r="L28" s="549"/>
      <c r="M28" s="548"/>
      <c r="N28" s="414"/>
      <c r="O28" s="417"/>
      <c r="P28" s="414"/>
      <c r="Q28" s="417"/>
      <c r="R28" s="414"/>
      <c r="S28" s="417"/>
      <c r="T28" s="410">
        <v>3100059</v>
      </c>
      <c r="U28" s="418">
        <v>44316</v>
      </c>
      <c r="V28" s="419">
        <v>1613</v>
      </c>
      <c r="W28" s="420">
        <v>43658</v>
      </c>
      <c r="X28" s="419" t="s">
        <v>74</v>
      </c>
      <c r="Y28" s="421">
        <v>43668</v>
      </c>
      <c r="Z28" s="419"/>
      <c r="AA28" s="421"/>
      <c r="AB28" s="422">
        <v>2492</v>
      </c>
      <c r="AC28" s="423">
        <v>237309.59999857598</v>
      </c>
      <c r="AD28" s="424"/>
      <c r="AE28" s="423"/>
      <c r="AF28" s="422"/>
      <c r="AG28" s="423"/>
      <c r="AH28" s="424"/>
      <c r="AI28" s="423"/>
      <c r="AJ28" s="422">
        <f t="shared" si="0"/>
        <v>0</v>
      </c>
      <c r="AK28" s="425">
        <f t="shared" si="13"/>
        <v>0</v>
      </c>
      <c r="AL28" s="422">
        <f t="shared" si="10"/>
        <v>1772</v>
      </c>
      <c r="AM28" s="423">
        <f t="shared" si="10"/>
        <v>168745.02857041598</v>
      </c>
      <c r="AN28" s="426">
        <v>748</v>
      </c>
      <c r="AO28" s="423">
        <v>205312.799998768</v>
      </c>
      <c r="AP28" s="427"/>
      <c r="AQ28" s="422">
        <v>28</v>
      </c>
      <c r="AR28" s="423">
        <v>95.228571428</v>
      </c>
      <c r="AS28" s="423">
        <f t="shared" si="14"/>
        <v>2666.399999984</v>
      </c>
      <c r="AT28" s="422">
        <f t="shared" si="9"/>
        <v>720</v>
      </c>
      <c r="AU28" s="423">
        <f t="shared" si="12"/>
        <v>68564.57142816</v>
      </c>
      <c r="AV28" s="422">
        <f>2520-112-756-1652</f>
        <v>0</v>
      </c>
      <c r="AW28" s="422"/>
      <c r="AX28" s="422">
        <f>112+1652-252-1380</f>
        <v>132</v>
      </c>
      <c r="AY28" s="422"/>
      <c r="AZ28" s="422">
        <f>756-28-56-28-28-28</f>
        <v>588</v>
      </c>
      <c r="BA28" s="422"/>
      <c r="BB28" s="429">
        <f t="shared" si="5"/>
        <v>720</v>
      </c>
      <c r="BC28" s="429">
        <f t="shared" si="6"/>
        <v>0</v>
      </c>
    </row>
    <row r="29" spans="2:55" s="469" customFormat="1" ht="15.75">
      <c r="B29" s="409">
        <v>9</v>
      </c>
      <c r="C29" s="410" t="s">
        <v>44</v>
      </c>
      <c r="D29" s="411" t="s">
        <v>83</v>
      </c>
      <c r="E29" s="468" t="s">
        <v>69</v>
      </c>
      <c r="F29" s="412" t="s">
        <v>104</v>
      </c>
      <c r="G29" s="413" t="s">
        <v>47</v>
      </c>
      <c r="H29" s="413" t="s">
        <v>47</v>
      </c>
      <c r="I29" s="547"/>
      <c r="J29" s="547"/>
      <c r="K29" s="548"/>
      <c r="L29" s="549"/>
      <c r="M29" s="548"/>
      <c r="N29" s="414"/>
      <c r="O29" s="417"/>
      <c r="P29" s="414"/>
      <c r="Q29" s="417"/>
      <c r="R29" s="414"/>
      <c r="S29" s="417"/>
      <c r="T29" s="410">
        <v>3100243</v>
      </c>
      <c r="U29" s="418">
        <v>44347</v>
      </c>
      <c r="V29" s="419">
        <v>1990</v>
      </c>
      <c r="W29" s="420">
        <v>43738</v>
      </c>
      <c r="X29" s="419" t="s">
        <v>84</v>
      </c>
      <c r="Y29" s="421">
        <v>43745</v>
      </c>
      <c r="Z29" s="419"/>
      <c r="AA29" s="421"/>
      <c r="AB29" s="422">
        <v>84</v>
      </c>
      <c r="AC29" s="423">
        <v>7811.82</v>
      </c>
      <c r="AD29" s="424"/>
      <c r="AE29" s="423"/>
      <c r="AF29" s="422"/>
      <c r="AG29" s="423"/>
      <c r="AH29" s="424"/>
      <c r="AI29" s="423"/>
      <c r="AJ29" s="422">
        <f t="shared" si="0"/>
        <v>0</v>
      </c>
      <c r="AK29" s="425">
        <f>AI29+AG29+AE29</f>
        <v>0</v>
      </c>
      <c r="AL29" s="422">
        <f t="shared" si="10"/>
        <v>0</v>
      </c>
      <c r="AM29" s="423">
        <f t="shared" si="10"/>
        <v>0</v>
      </c>
      <c r="AN29" s="426">
        <v>84</v>
      </c>
      <c r="AO29" s="423">
        <v>7811.82</v>
      </c>
      <c r="AP29" s="427"/>
      <c r="AQ29" s="422"/>
      <c r="AR29" s="423">
        <v>92.99785714285714</v>
      </c>
      <c r="AS29" s="423">
        <f t="shared" si="14"/>
        <v>0</v>
      </c>
      <c r="AT29" s="422">
        <f t="shared" si="9"/>
        <v>84</v>
      </c>
      <c r="AU29" s="423">
        <f t="shared" si="12"/>
        <v>7811.82</v>
      </c>
      <c r="AV29" s="422">
        <f>84-84</f>
        <v>0</v>
      </c>
      <c r="AW29" s="422"/>
      <c r="AX29" s="422">
        <v>84</v>
      </c>
      <c r="AY29" s="422"/>
      <c r="AZ29" s="422"/>
      <c r="BA29" s="422"/>
      <c r="BB29" s="429">
        <f>AB29+AJ29-AL29</f>
        <v>84</v>
      </c>
      <c r="BC29" s="429">
        <f>BB29-AT29</f>
        <v>0</v>
      </c>
    </row>
    <row r="30" spans="2:55" s="469" customFormat="1" ht="15.75">
      <c r="B30" s="409">
        <v>10</v>
      </c>
      <c r="C30" s="410" t="s">
        <v>44</v>
      </c>
      <c r="D30" s="411" t="s">
        <v>83</v>
      </c>
      <c r="E30" s="468" t="s">
        <v>69</v>
      </c>
      <c r="F30" s="412" t="s">
        <v>104</v>
      </c>
      <c r="G30" s="413" t="s">
        <v>47</v>
      </c>
      <c r="H30" s="413" t="s">
        <v>47</v>
      </c>
      <c r="I30" s="547"/>
      <c r="J30" s="547"/>
      <c r="K30" s="548"/>
      <c r="L30" s="549"/>
      <c r="M30" s="548"/>
      <c r="N30" s="414"/>
      <c r="O30" s="417"/>
      <c r="P30" s="414"/>
      <c r="Q30" s="417"/>
      <c r="R30" s="414"/>
      <c r="S30" s="417"/>
      <c r="T30" s="410">
        <v>3105977</v>
      </c>
      <c r="U30" s="418">
        <v>44439</v>
      </c>
      <c r="V30" s="419">
        <v>79</v>
      </c>
      <c r="W30" s="420">
        <v>43845</v>
      </c>
      <c r="X30" s="419" t="s">
        <v>96</v>
      </c>
      <c r="Y30" s="421">
        <v>43857</v>
      </c>
      <c r="Z30" s="419"/>
      <c r="AA30" s="421"/>
      <c r="AB30" s="422">
        <v>0</v>
      </c>
      <c r="AC30" s="423">
        <v>0</v>
      </c>
      <c r="AD30" s="424">
        <v>28</v>
      </c>
      <c r="AE30" s="423">
        <v>2603.94</v>
      </c>
      <c r="AF30" s="422"/>
      <c r="AG30" s="423"/>
      <c r="AH30" s="424"/>
      <c r="AI30" s="423"/>
      <c r="AJ30" s="422">
        <f t="shared" si="0"/>
        <v>28</v>
      </c>
      <c r="AK30" s="425">
        <f>AI30+AG30+AE30</f>
        <v>2603.94</v>
      </c>
      <c r="AL30" s="422">
        <f t="shared" si="10"/>
        <v>0</v>
      </c>
      <c r="AM30" s="423">
        <f t="shared" si="10"/>
        <v>-3.999957698397338E-09</v>
      </c>
      <c r="AN30" s="426">
        <v>28</v>
      </c>
      <c r="AO30" s="423">
        <v>2603.940000004</v>
      </c>
      <c r="AP30" s="427"/>
      <c r="AQ30" s="422"/>
      <c r="AR30" s="423">
        <v>92.997857143</v>
      </c>
      <c r="AS30" s="423">
        <f t="shared" si="14"/>
        <v>0</v>
      </c>
      <c r="AT30" s="422">
        <f t="shared" si="9"/>
        <v>28</v>
      </c>
      <c r="AU30" s="423">
        <f>AR30*AT30</f>
        <v>2603.940000004</v>
      </c>
      <c r="AV30" s="422">
        <f>28-28</f>
        <v>0</v>
      </c>
      <c r="AW30" s="422"/>
      <c r="AX30" s="422">
        <f>28</f>
        <v>28</v>
      </c>
      <c r="AY30" s="422"/>
      <c r="AZ30" s="422"/>
      <c r="BA30" s="422"/>
      <c r="BB30" s="429">
        <f>AB30+AJ30-AL30</f>
        <v>28</v>
      </c>
      <c r="BC30" s="429">
        <f>BB30-AT30</f>
        <v>0</v>
      </c>
    </row>
    <row r="31" spans="2:55" s="469" customFormat="1" ht="15.75">
      <c r="B31" s="409">
        <v>11</v>
      </c>
      <c r="C31" s="410" t="s">
        <v>44</v>
      </c>
      <c r="D31" s="411" t="s">
        <v>83</v>
      </c>
      <c r="E31" s="412" t="s">
        <v>101</v>
      </c>
      <c r="F31" s="412" t="s">
        <v>104</v>
      </c>
      <c r="G31" s="413" t="s">
        <v>47</v>
      </c>
      <c r="H31" s="413" t="s">
        <v>47</v>
      </c>
      <c r="I31" s="547"/>
      <c r="J31" s="547"/>
      <c r="K31" s="548"/>
      <c r="L31" s="549"/>
      <c r="M31" s="548"/>
      <c r="N31" s="414"/>
      <c r="O31" s="417"/>
      <c r="P31" s="414"/>
      <c r="Q31" s="417"/>
      <c r="R31" s="414"/>
      <c r="S31" s="417"/>
      <c r="T31" s="410">
        <v>3105977</v>
      </c>
      <c r="U31" s="418">
        <v>44439</v>
      </c>
      <c r="V31" s="419">
        <v>280</v>
      </c>
      <c r="W31" s="420">
        <v>43868</v>
      </c>
      <c r="X31" s="419" t="s">
        <v>107</v>
      </c>
      <c r="Y31" s="421">
        <v>43878</v>
      </c>
      <c r="Z31" s="419"/>
      <c r="AA31" s="421"/>
      <c r="AB31" s="422">
        <v>0</v>
      </c>
      <c r="AC31" s="423">
        <v>0</v>
      </c>
      <c r="AD31" s="424"/>
      <c r="AE31" s="423"/>
      <c r="AF31" s="422">
        <v>1680</v>
      </c>
      <c r="AG31" s="423">
        <v>136944</v>
      </c>
      <c r="AH31" s="424"/>
      <c r="AI31" s="423"/>
      <c r="AJ31" s="422">
        <f t="shared" si="0"/>
        <v>1680</v>
      </c>
      <c r="AK31" s="425">
        <f>AI31+AG31+AE31</f>
        <v>136944</v>
      </c>
      <c r="AL31" s="422">
        <f>AB31+AJ31-AT31</f>
        <v>0</v>
      </c>
      <c r="AM31" s="423">
        <f>AC31+AK31-AU31</f>
        <v>0.0009648000122979283</v>
      </c>
      <c r="AN31" s="426">
        <v>1680</v>
      </c>
      <c r="AO31" s="423">
        <v>136943.9990352</v>
      </c>
      <c r="AP31" s="427"/>
      <c r="AQ31" s="422"/>
      <c r="AR31" s="423">
        <v>81.51428514</v>
      </c>
      <c r="AS31" s="423">
        <f t="shared" si="14"/>
        <v>0</v>
      </c>
      <c r="AT31" s="422">
        <f>SUM(AV31:BA31)</f>
        <v>1680</v>
      </c>
      <c r="AU31" s="423">
        <f>AR31*AT31</f>
        <v>136943.9990352</v>
      </c>
      <c r="AV31" s="422">
        <v>1680</v>
      </c>
      <c r="AW31" s="422"/>
      <c r="AX31" s="422"/>
      <c r="AY31" s="422"/>
      <c r="AZ31" s="422"/>
      <c r="BA31" s="422"/>
      <c r="BB31" s="429">
        <f>AB31+AJ31-AL31</f>
        <v>1680</v>
      </c>
      <c r="BC31" s="429">
        <f>BB31-AT31</f>
        <v>0</v>
      </c>
    </row>
    <row r="32" spans="2:55" s="230" customFormat="1" ht="15.75">
      <c r="B32" s="434">
        <v>12</v>
      </c>
      <c r="C32" s="98" t="s">
        <v>44</v>
      </c>
      <c r="D32" s="435" t="s">
        <v>48</v>
      </c>
      <c r="E32" s="436" t="s">
        <v>49</v>
      </c>
      <c r="F32" s="467" t="s">
        <v>105</v>
      </c>
      <c r="G32" s="99" t="s">
        <v>47</v>
      </c>
      <c r="H32" s="99" t="s">
        <v>47</v>
      </c>
      <c r="I32" s="550">
        <v>336</v>
      </c>
      <c r="J32" s="550">
        <v>152</v>
      </c>
      <c r="K32" s="551">
        <v>3.35</v>
      </c>
      <c r="L32" s="552">
        <v>51072</v>
      </c>
      <c r="M32" s="551">
        <f>K32*L32</f>
        <v>171091.2</v>
      </c>
      <c r="N32" s="100"/>
      <c r="O32" s="103"/>
      <c r="P32" s="100"/>
      <c r="Q32" s="103"/>
      <c r="R32" s="100"/>
      <c r="S32" s="103"/>
      <c r="T32" s="98">
        <v>19027411</v>
      </c>
      <c r="U32" s="104">
        <v>44347</v>
      </c>
      <c r="V32" s="105">
        <v>1786</v>
      </c>
      <c r="W32" s="106">
        <v>43690</v>
      </c>
      <c r="X32" s="105" t="s">
        <v>78</v>
      </c>
      <c r="Y32" s="107">
        <v>43696</v>
      </c>
      <c r="Z32" s="105" t="s">
        <v>79</v>
      </c>
      <c r="AA32" s="107">
        <v>43693</v>
      </c>
      <c r="AB32" s="108">
        <v>41400</v>
      </c>
      <c r="AC32" s="109">
        <v>118031.4</v>
      </c>
      <c r="AD32" s="110"/>
      <c r="AE32" s="109"/>
      <c r="AF32" s="110"/>
      <c r="AG32" s="109"/>
      <c r="AH32" s="110"/>
      <c r="AI32" s="109"/>
      <c r="AJ32" s="108">
        <f t="shared" si="0"/>
        <v>0</v>
      </c>
      <c r="AK32" s="182">
        <f t="shared" si="13"/>
        <v>0</v>
      </c>
      <c r="AL32" s="108">
        <f t="shared" si="10"/>
        <v>3690</v>
      </c>
      <c r="AM32" s="109">
        <f t="shared" si="10"/>
        <v>10520.189999999988</v>
      </c>
      <c r="AN32" s="184">
        <v>37710</v>
      </c>
      <c r="AO32" s="123">
        <v>115465.5</v>
      </c>
      <c r="AP32" s="111"/>
      <c r="AQ32" s="108"/>
      <c r="AR32" s="109">
        <v>2.851</v>
      </c>
      <c r="AS32" s="109">
        <f t="shared" si="11"/>
        <v>0</v>
      </c>
      <c r="AT32" s="108">
        <f t="shared" si="9"/>
        <v>37710</v>
      </c>
      <c r="AU32" s="109">
        <f t="shared" si="12"/>
        <v>107511.21</v>
      </c>
      <c r="AV32" s="108">
        <f>41880-41880</f>
        <v>0</v>
      </c>
      <c r="AW32" s="108"/>
      <c r="AX32" s="108">
        <f>41880-30-450-900-2790</f>
        <v>37710</v>
      </c>
      <c r="AY32" s="108"/>
      <c r="AZ32" s="108"/>
      <c r="BA32" s="108"/>
      <c r="BB32" s="429">
        <f>AB32+AJ32-AL32</f>
        <v>37710</v>
      </c>
      <c r="BC32" s="429">
        <f>BB32-AT32</f>
        <v>0</v>
      </c>
    </row>
    <row r="33" spans="2:55" s="231" customFormat="1" ht="15.75">
      <c r="B33" s="441">
        <v>13</v>
      </c>
      <c r="C33" s="112" t="s">
        <v>44</v>
      </c>
      <c r="D33" s="113" t="s">
        <v>50</v>
      </c>
      <c r="E33" s="114" t="s">
        <v>39</v>
      </c>
      <c r="F33" s="466" t="s">
        <v>106</v>
      </c>
      <c r="G33" s="115" t="s">
        <v>47</v>
      </c>
      <c r="H33" s="115" t="s">
        <v>47</v>
      </c>
      <c r="I33" s="553">
        <v>504</v>
      </c>
      <c r="J33" s="553">
        <v>895</v>
      </c>
      <c r="K33" s="554"/>
      <c r="L33" s="555">
        <v>451080</v>
      </c>
      <c r="M33" s="554">
        <f>K33*L33</f>
        <v>0</v>
      </c>
      <c r="N33" s="116"/>
      <c r="O33" s="117"/>
      <c r="P33" s="116"/>
      <c r="Q33" s="117"/>
      <c r="R33" s="116"/>
      <c r="S33" s="117"/>
      <c r="T33" s="112" t="s">
        <v>51</v>
      </c>
      <c r="U33" s="118">
        <v>44105</v>
      </c>
      <c r="V33" s="119">
        <v>1274</v>
      </c>
      <c r="W33" s="120">
        <v>43287</v>
      </c>
      <c r="X33" s="119" t="s">
        <v>52</v>
      </c>
      <c r="Y33" s="121">
        <v>43304</v>
      </c>
      <c r="Z33" s="119" t="s">
        <v>53</v>
      </c>
      <c r="AA33" s="121">
        <v>43315</v>
      </c>
      <c r="AB33" s="122">
        <v>4066</v>
      </c>
      <c r="AC33" s="123">
        <v>34980.669286876</v>
      </c>
      <c r="AD33" s="124"/>
      <c r="AE33" s="123"/>
      <c r="AF33" s="124"/>
      <c r="AG33" s="123"/>
      <c r="AH33" s="124"/>
      <c r="AI33" s="123"/>
      <c r="AJ33" s="122">
        <f t="shared" si="0"/>
        <v>0</v>
      </c>
      <c r="AK33" s="182">
        <f t="shared" si="13"/>
        <v>0</v>
      </c>
      <c r="AL33" s="122">
        <f t="shared" si="10"/>
        <v>3090</v>
      </c>
      <c r="AM33" s="123">
        <f t="shared" si="10"/>
        <v>26583.93214374</v>
      </c>
      <c r="AN33" s="185">
        <v>1144</v>
      </c>
      <c r="AO33" s="123">
        <v>12732.75714328</v>
      </c>
      <c r="AP33" s="125"/>
      <c r="AQ33" s="122">
        <v>168</v>
      </c>
      <c r="AR33" s="123">
        <v>8.603214286</v>
      </c>
      <c r="AS33" s="123">
        <f t="shared" si="11"/>
        <v>1445.340000048</v>
      </c>
      <c r="AT33" s="122">
        <f>SUM(AV33:BA33)</f>
        <v>976</v>
      </c>
      <c r="AU33" s="123">
        <f>AR33*AT33</f>
        <v>8396.737143136</v>
      </c>
      <c r="AV33" s="122">
        <f>20664-5576-2520-6048-4032-504-1984</f>
        <v>0</v>
      </c>
      <c r="AW33" s="122"/>
      <c r="AX33" s="122">
        <f>5576+6048-1848-2682+4032-1820-3052-4508-1746</f>
        <v>0</v>
      </c>
      <c r="AY33" s="122"/>
      <c r="AZ33" s="122">
        <f>2520-1512-504+1984-168-336-504-336-168</f>
        <v>976</v>
      </c>
      <c r="BA33" s="122"/>
      <c r="BB33" s="97">
        <f t="shared" si="5"/>
        <v>976</v>
      </c>
      <c r="BC33" s="79">
        <f t="shared" si="6"/>
        <v>0</v>
      </c>
    </row>
    <row r="34" spans="2:55" s="231" customFormat="1" ht="15.75">
      <c r="B34" s="441">
        <v>14</v>
      </c>
      <c r="C34" s="112" t="s">
        <v>44</v>
      </c>
      <c r="D34" s="113" t="s">
        <v>50</v>
      </c>
      <c r="E34" s="114" t="s">
        <v>39</v>
      </c>
      <c r="F34" s="466" t="s">
        <v>106</v>
      </c>
      <c r="G34" s="115" t="s">
        <v>47</v>
      </c>
      <c r="H34" s="115" t="s">
        <v>47</v>
      </c>
      <c r="I34" s="553"/>
      <c r="J34" s="553"/>
      <c r="K34" s="554"/>
      <c r="L34" s="555"/>
      <c r="M34" s="554"/>
      <c r="N34" s="116"/>
      <c r="O34" s="117"/>
      <c r="P34" s="116"/>
      <c r="Q34" s="117"/>
      <c r="R34" s="116"/>
      <c r="S34" s="117"/>
      <c r="T34" s="112" t="s">
        <v>54</v>
      </c>
      <c r="U34" s="118">
        <v>44105</v>
      </c>
      <c r="V34" s="119">
        <v>1390</v>
      </c>
      <c r="W34" s="120">
        <v>43307</v>
      </c>
      <c r="X34" s="119" t="s">
        <v>55</v>
      </c>
      <c r="Y34" s="127">
        <v>43325</v>
      </c>
      <c r="Z34" s="128" t="s">
        <v>56</v>
      </c>
      <c r="AA34" s="127">
        <v>43321</v>
      </c>
      <c r="AB34" s="122">
        <v>20496</v>
      </c>
      <c r="AC34" s="123">
        <v>176331.480005856</v>
      </c>
      <c r="AD34" s="124"/>
      <c r="AE34" s="123"/>
      <c r="AF34" s="124"/>
      <c r="AG34" s="123"/>
      <c r="AH34" s="124"/>
      <c r="AI34" s="123"/>
      <c r="AJ34" s="122">
        <f t="shared" si="0"/>
        <v>0</v>
      </c>
      <c r="AK34" s="182">
        <f t="shared" si="13"/>
        <v>0</v>
      </c>
      <c r="AL34" s="122">
        <f t="shared" si="10"/>
        <v>13598</v>
      </c>
      <c r="AM34" s="123">
        <f t="shared" si="10"/>
        <v>116986.50786102799</v>
      </c>
      <c r="AN34" s="185">
        <v>6898</v>
      </c>
      <c r="AO34" s="123">
        <v>148233.38214778</v>
      </c>
      <c r="AP34" s="125"/>
      <c r="AQ34" s="122"/>
      <c r="AR34" s="123">
        <v>8.603214286</v>
      </c>
      <c r="AS34" s="123">
        <f t="shared" si="11"/>
        <v>0</v>
      </c>
      <c r="AT34" s="122">
        <f t="shared" si="9"/>
        <v>6898</v>
      </c>
      <c r="AU34" s="123">
        <f t="shared" si="12"/>
        <v>59344.972144828</v>
      </c>
      <c r="AV34" s="122">
        <f>20496-8064-2552-9880</f>
        <v>0</v>
      </c>
      <c r="AW34" s="122"/>
      <c r="AX34" s="122">
        <f>8064-3266+9880-10332</f>
        <v>4346</v>
      </c>
      <c r="AY34" s="122"/>
      <c r="AZ34" s="122">
        <f>2552</f>
        <v>2552</v>
      </c>
      <c r="BA34" s="122"/>
      <c r="BB34" s="126">
        <f t="shared" si="5"/>
        <v>6898</v>
      </c>
      <c r="BC34" s="79">
        <f t="shared" si="6"/>
        <v>0</v>
      </c>
    </row>
    <row r="35" spans="2:55" ht="15.75" hidden="1">
      <c r="B35" s="147">
        <v>12</v>
      </c>
      <c r="C35" s="5"/>
      <c r="D35" s="6"/>
      <c r="E35" s="30" t="s">
        <v>57</v>
      </c>
      <c r="F35" s="30"/>
      <c r="G35" s="31" t="s">
        <v>47</v>
      </c>
      <c r="H35" s="31" t="s">
        <v>47</v>
      </c>
      <c r="I35" s="32">
        <v>84</v>
      </c>
      <c r="J35" s="32">
        <v>895</v>
      </c>
      <c r="K35" s="33">
        <v>249.07</v>
      </c>
      <c r="L35" s="34">
        <f>I35*J35</f>
        <v>75180</v>
      </c>
      <c r="M35" s="556">
        <f>K35*L35</f>
        <v>18725082.599999998</v>
      </c>
      <c r="N35" s="32"/>
      <c r="O35" s="35"/>
      <c r="P35" s="32"/>
      <c r="Q35" s="35"/>
      <c r="R35" s="32"/>
      <c r="S35" s="35"/>
      <c r="T35" s="36"/>
      <c r="U35" s="36"/>
      <c r="V35" s="7"/>
      <c r="W35" s="8"/>
      <c r="X35" s="48"/>
      <c r="Y35" s="49"/>
      <c r="Z35" s="49"/>
      <c r="AA35" s="49"/>
      <c r="AB35" s="594">
        <v>0</v>
      </c>
      <c r="AC35" s="9">
        <v>0</v>
      </c>
      <c r="AD35" s="51"/>
      <c r="AE35" s="52"/>
      <c r="AF35" s="51"/>
      <c r="AG35" s="52"/>
      <c r="AH35" s="51"/>
      <c r="AI35" s="52"/>
      <c r="AJ35" s="3">
        <f t="shared" si="0"/>
        <v>0</v>
      </c>
      <c r="AK35" s="186">
        <f>AJ35*AR35</f>
        <v>0</v>
      </c>
      <c r="AL35" s="3">
        <f t="shared" si="10"/>
        <v>8000</v>
      </c>
      <c r="AM35" s="9">
        <f t="shared" si="10"/>
        <v>17452.58</v>
      </c>
      <c r="AN35" s="187">
        <v>0</v>
      </c>
      <c r="AO35" s="52">
        <v>0</v>
      </c>
      <c r="AP35" s="56"/>
      <c r="AQ35" s="53">
        <f>AN35-AT35</f>
        <v>0</v>
      </c>
      <c r="AR35" s="52"/>
      <c r="AS35" s="52">
        <f t="shared" si="11"/>
        <v>0</v>
      </c>
      <c r="AT35" s="3">
        <f>AN35+AP35-AQ35</f>
        <v>0</v>
      </c>
      <c r="AU35" s="9">
        <f>AT35*AR35</f>
        <v>0</v>
      </c>
      <c r="AV35" s="3">
        <v>0</v>
      </c>
      <c r="AW35" s="3"/>
      <c r="AX35" s="3"/>
      <c r="AY35" s="3"/>
      <c r="AZ35" s="3"/>
      <c r="BA35" s="3"/>
      <c r="BB35" s="10">
        <f t="shared" si="5"/>
        <v>0</v>
      </c>
      <c r="BC35" s="79">
        <f t="shared" si="6"/>
        <v>0</v>
      </c>
    </row>
    <row r="36" spans="2:55" ht="15.75" hidden="1">
      <c r="B36" s="130">
        <v>13</v>
      </c>
      <c r="C36" s="5"/>
      <c r="D36" s="6"/>
      <c r="E36" s="30" t="s">
        <v>58</v>
      </c>
      <c r="F36" s="30"/>
      <c r="G36" s="31" t="s">
        <v>47</v>
      </c>
      <c r="H36" s="31" t="s">
        <v>47</v>
      </c>
      <c r="I36" s="32"/>
      <c r="J36" s="32"/>
      <c r="K36" s="33">
        <v>35.36</v>
      </c>
      <c r="L36" s="34">
        <f>I36*J36</f>
        <v>0</v>
      </c>
      <c r="M36" s="556">
        <f>K36*L36</f>
        <v>0</v>
      </c>
      <c r="N36" s="32"/>
      <c r="O36" s="35"/>
      <c r="P36" s="32"/>
      <c r="Q36" s="35"/>
      <c r="R36" s="32"/>
      <c r="S36" s="35"/>
      <c r="T36" s="36"/>
      <c r="U36" s="36"/>
      <c r="V36" s="7"/>
      <c r="W36" s="8"/>
      <c r="X36" s="48"/>
      <c r="Y36" s="49"/>
      <c r="Z36" s="49"/>
      <c r="AA36" s="49"/>
      <c r="AB36" s="594">
        <v>0</v>
      </c>
      <c r="AC36" s="9">
        <v>0</v>
      </c>
      <c r="AD36" s="51"/>
      <c r="AE36" s="52"/>
      <c r="AF36" s="51"/>
      <c r="AG36" s="52"/>
      <c r="AH36" s="51"/>
      <c r="AI36" s="52"/>
      <c r="AJ36" s="3">
        <f t="shared" si="0"/>
        <v>0</v>
      </c>
      <c r="AK36" s="186">
        <f>AJ36*AR36</f>
        <v>0</v>
      </c>
      <c r="AL36" s="3">
        <f t="shared" si="10"/>
        <v>8000</v>
      </c>
      <c r="AM36" s="9">
        <f t="shared" si="10"/>
        <v>17452.58</v>
      </c>
      <c r="AN36" s="187">
        <v>0</v>
      </c>
      <c r="AO36" s="52">
        <v>0</v>
      </c>
      <c r="AP36" s="56"/>
      <c r="AQ36" s="53">
        <f>AN36-AT36</f>
        <v>0</v>
      </c>
      <c r="AR36" s="52"/>
      <c r="AS36" s="52">
        <f t="shared" si="11"/>
        <v>0</v>
      </c>
      <c r="AT36" s="3">
        <f>AN36+AP36-AQ36</f>
        <v>0</v>
      </c>
      <c r="AU36" s="9">
        <f>AT36*AR36</f>
        <v>0</v>
      </c>
      <c r="AV36" s="3">
        <v>0</v>
      </c>
      <c r="AW36" s="3"/>
      <c r="AX36" s="3"/>
      <c r="AY36" s="3"/>
      <c r="AZ36" s="3"/>
      <c r="BA36" s="3"/>
      <c r="BB36" s="10">
        <f t="shared" si="5"/>
        <v>0</v>
      </c>
      <c r="BC36" s="79">
        <f t="shared" si="6"/>
        <v>0</v>
      </c>
    </row>
    <row r="37" spans="2:55" ht="15.75" hidden="1">
      <c r="B37" s="130">
        <v>14</v>
      </c>
      <c r="C37" s="5"/>
      <c r="D37" s="6" t="s">
        <v>59</v>
      </c>
      <c r="E37" s="30" t="s">
        <v>60</v>
      </c>
      <c r="F37" s="30"/>
      <c r="G37" s="31" t="s">
        <v>47</v>
      </c>
      <c r="H37" s="31" t="s">
        <v>47</v>
      </c>
      <c r="I37" s="32"/>
      <c r="J37" s="32"/>
      <c r="K37" s="33">
        <v>35.36</v>
      </c>
      <c r="L37" s="34">
        <f>I37*J37</f>
        <v>0</v>
      </c>
      <c r="M37" s="556">
        <f>K37*L37</f>
        <v>0</v>
      </c>
      <c r="N37" s="32"/>
      <c r="O37" s="35"/>
      <c r="P37" s="32"/>
      <c r="Q37" s="35"/>
      <c r="R37" s="32"/>
      <c r="S37" s="35"/>
      <c r="T37" s="36"/>
      <c r="U37" s="36"/>
      <c r="V37" s="7"/>
      <c r="W37" s="8"/>
      <c r="X37" s="48"/>
      <c r="Y37" s="49"/>
      <c r="Z37" s="49"/>
      <c r="AA37" s="49"/>
      <c r="AB37" s="594">
        <v>0</v>
      </c>
      <c r="AC37" s="9">
        <v>0</v>
      </c>
      <c r="AD37" s="51"/>
      <c r="AE37" s="52"/>
      <c r="AF37" s="51"/>
      <c r="AG37" s="52"/>
      <c r="AH37" s="51"/>
      <c r="AI37" s="52"/>
      <c r="AJ37" s="3">
        <f>AD37+AF37+AH37</f>
        <v>0</v>
      </c>
      <c r="AK37" s="186">
        <f>AJ37*AR37</f>
        <v>0</v>
      </c>
      <c r="AL37" s="3">
        <f t="shared" si="10"/>
        <v>8000</v>
      </c>
      <c r="AM37" s="9">
        <f t="shared" si="10"/>
        <v>17452.58</v>
      </c>
      <c r="AN37" s="187">
        <v>0</v>
      </c>
      <c r="AO37" s="52">
        <v>0</v>
      </c>
      <c r="AP37" s="56"/>
      <c r="AQ37" s="53">
        <f>AN37-AT37</f>
        <v>0</v>
      </c>
      <c r="AR37" s="52"/>
      <c r="AS37" s="52">
        <f t="shared" si="11"/>
        <v>0</v>
      </c>
      <c r="AT37" s="3">
        <f>AN37+AP37-AQ37</f>
        <v>0</v>
      </c>
      <c r="AU37" s="9">
        <f>AT37*AR37</f>
        <v>0</v>
      </c>
      <c r="AV37" s="3">
        <v>0</v>
      </c>
      <c r="AW37" s="3"/>
      <c r="AX37" s="3"/>
      <c r="AY37" s="3"/>
      <c r="AZ37" s="3"/>
      <c r="BA37" s="3"/>
      <c r="BB37" s="10">
        <f t="shared" si="5"/>
        <v>0</v>
      </c>
      <c r="BC37" s="79">
        <f t="shared" si="6"/>
        <v>0</v>
      </c>
    </row>
    <row r="38" spans="2:55" s="232" customFormat="1" ht="15.75">
      <c r="B38" s="147"/>
      <c r="C38" s="610" t="s">
        <v>61</v>
      </c>
      <c r="D38" s="610"/>
      <c r="E38" s="610"/>
      <c r="F38" s="610"/>
      <c r="G38" s="610"/>
      <c r="H38" s="610"/>
      <c r="I38" s="150"/>
      <c r="J38" s="150"/>
      <c r="K38" s="151"/>
      <c r="L38" s="151"/>
      <c r="M38" s="151">
        <f>SUM(M17:M34)</f>
        <v>44995095.96</v>
      </c>
      <c r="N38" s="151">
        <f aca="true" t="shared" si="15" ref="N38:S38">SUM(N21:O34)</f>
        <v>0</v>
      </c>
      <c r="O38" s="151">
        <f t="shared" si="15"/>
        <v>0</v>
      </c>
      <c r="P38" s="151">
        <f t="shared" si="15"/>
        <v>0</v>
      </c>
      <c r="Q38" s="151">
        <f t="shared" si="15"/>
        <v>0</v>
      </c>
      <c r="R38" s="151">
        <f t="shared" si="15"/>
        <v>0</v>
      </c>
      <c r="S38" s="151">
        <f t="shared" si="15"/>
        <v>43838391</v>
      </c>
      <c r="T38" s="152"/>
      <c r="U38" s="152"/>
      <c r="V38" s="153"/>
      <c r="W38" s="153"/>
      <c r="X38" s="152"/>
      <c r="Y38" s="152"/>
      <c r="Z38" s="152"/>
      <c r="AA38" s="152"/>
      <c r="AB38" s="154">
        <f>SUM(AB17:AB37)</f>
        <v>69997</v>
      </c>
      <c r="AC38" s="154">
        <f aca="true" t="shared" si="16" ref="AC38:AK38">SUM(AC17:AC37)</f>
        <v>646430.599290932</v>
      </c>
      <c r="AD38" s="154">
        <f t="shared" si="16"/>
        <v>616</v>
      </c>
      <c r="AE38" s="154">
        <f t="shared" si="16"/>
        <v>21451.23</v>
      </c>
      <c r="AF38" s="154">
        <f t="shared" si="16"/>
        <v>12640</v>
      </c>
      <c r="AG38" s="154">
        <f t="shared" si="16"/>
        <v>2704437.86</v>
      </c>
      <c r="AH38" s="154">
        <f t="shared" si="16"/>
        <v>0</v>
      </c>
      <c r="AI38" s="154">
        <f t="shared" si="16"/>
        <v>0</v>
      </c>
      <c r="AJ38" s="154">
        <f t="shared" si="16"/>
        <v>13256</v>
      </c>
      <c r="AK38" s="154">
        <f t="shared" si="16"/>
        <v>2725889.09</v>
      </c>
      <c r="AL38" s="154">
        <f aca="true" t="shared" si="17" ref="AL38:AQ38">SUM(AL17:AL34)</f>
        <v>23917</v>
      </c>
      <c r="AM38" s="154">
        <f t="shared" si="17"/>
        <v>2651498.9895396032</v>
      </c>
      <c r="AN38" s="154">
        <f t="shared" si="17"/>
        <v>59532</v>
      </c>
      <c r="AO38" s="154">
        <f t="shared" si="17"/>
        <v>1710518.8583246355</v>
      </c>
      <c r="AP38" s="154">
        <f t="shared" si="17"/>
        <v>0</v>
      </c>
      <c r="AQ38" s="154">
        <f t="shared" si="17"/>
        <v>196</v>
      </c>
      <c r="AR38" s="155" t="s">
        <v>40</v>
      </c>
      <c r="AS38" s="155">
        <f aca="true" t="shared" si="18" ref="AS38:BA38">SUM(AS17:AS34)</f>
        <v>4111.740000031999</v>
      </c>
      <c r="AT38" s="155">
        <f t="shared" si="18"/>
        <v>59336</v>
      </c>
      <c r="AU38" s="155">
        <f t="shared" si="18"/>
        <v>2967646.0097510484</v>
      </c>
      <c r="AV38" s="155">
        <f t="shared" si="18"/>
        <v>12640</v>
      </c>
      <c r="AW38" s="155">
        <f t="shared" si="18"/>
        <v>0</v>
      </c>
      <c r="AX38" s="155">
        <f t="shared" si="18"/>
        <v>42580</v>
      </c>
      <c r="AY38" s="155">
        <f t="shared" si="18"/>
        <v>0</v>
      </c>
      <c r="AZ38" s="155">
        <f t="shared" si="18"/>
        <v>4116</v>
      </c>
      <c r="BA38" s="155">
        <f t="shared" si="18"/>
        <v>0</v>
      </c>
      <c r="BB38" s="156">
        <f t="shared" si="5"/>
        <v>59336</v>
      </c>
      <c r="BC38" s="157">
        <f t="shared" si="6"/>
        <v>0</v>
      </c>
    </row>
    <row r="39" spans="48:55" ht="15.75">
      <c r="AV39" s="1"/>
      <c r="BB39" s="10">
        <f t="shared" si="5"/>
        <v>0</v>
      </c>
      <c r="BC39" s="79">
        <f t="shared" si="6"/>
        <v>0</v>
      </c>
    </row>
    <row r="40" spans="3:55" ht="18.75" hidden="1">
      <c r="C40" s="21"/>
      <c r="D40" s="22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42"/>
      <c r="V40" s="22"/>
      <c r="W40" s="22"/>
      <c r="X40" s="40"/>
      <c r="Y40" s="40"/>
      <c r="Z40" s="40"/>
      <c r="AA40" s="40"/>
      <c r="AB40" s="23">
        <v>25627</v>
      </c>
      <c r="AC40" s="24">
        <v>429721.02999999997</v>
      </c>
      <c r="AD40" s="46">
        <v>2489</v>
      </c>
      <c r="AE40" s="46">
        <v>238467.40999999997</v>
      </c>
      <c r="AF40" s="46">
        <v>43857</v>
      </c>
      <c r="AG40" s="46">
        <v>1030797.06</v>
      </c>
      <c r="AH40" s="46">
        <v>0</v>
      </c>
      <c r="AI40" s="46">
        <v>0</v>
      </c>
      <c r="AJ40" s="25">
        <v>46346</v>
      </c>
      <c r="AK40" s="190">
        <v>1269264.4699921182</v>
      </c>
      <c r="AL40" s="23">
        <v>5305</v>
      </c>
      <c r="AM40" s="24">
        <v>209811.62</v>
      </c>
      <c r="AN40" s="191">
        <v>66668</v>
      </c>
      <c r="AO40" s="59">
        <v>1489173.879992118</v>
      </c>
      <c r="AP40" s="60">
        <v>0</v>
      </c>
      <c r="AQ40" s="61">
        <v>0</v>
      </c>
      <c r="AR40" s="29" t="s">
        <v>40</v>
      </c>
      <c r="AS40" s="29">
        <v>0</v>
      </c>
      <c r="AT40" s="26">
        <v>66668</v>
      </c>
      <c r="AU40" s="27">
        <v>1489173.879992118</v>
      </c>
      <c r="AV40" s="28">
        <f>AB38+AJ38-AL38</f>
        <v>59336</v>
      </c>
      <c r="AW40" s="28"/>
      <c r="BB40" s="10">
        <f t="shared" si="5"/>
        <v>66668</v>
      </c>
      <c r="BC40" s="10">
        <f t="shared" si="6"/>
        <v>0</v>
      </c>
    </row>
    <row r="41" spans="1:54" s="16" customFormat="1" ht="20.25">
      <c r="A41" s="13"/>
      <c r="B41" s="14"/>
      <c r="C41" s="13" t="s">
        <v>80</v>
      </c>
      <c r="D41" s="14"/>
      <c r="E41" s="43" t="s">
        <v>62</v>
      </c>
      <c r="F41" s="43"/>
      <c r="G41" s="44"/>
      <c r="H41" s="43"/>
      <c r="I41" s="43" t="s">
        <v>63</v>
      </c>
      <c r="J41" s="4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17"/>
      <c r="W41" s="15"/>
      <c r="X41" s="43"/>
      <c r="Y41" s="44"/>
      <c r="Z41" s="43"/>
      <c r="AA41" s="43"/>
      <c r="AB41" s="13"/>
      <c r="AC41" s="15" t="s">
        <v>77</v>
      </c>
      <c r="AD41" s="43"/>
      <c r="AE41" s="54"/>
      <c r="AF41" s="43"/>
      <c r="AG41" s="43"/>
      <c r="AH41" s="43"/>
      <c r="AI41" s="43"/>
      <c r="AJ41" s="13"/>
      <c r="AK41" s="192"/>
      <c r="AL41" s="13"/>
      <c r="AM41" s="18"/>
      <c r="AN41" s="193"/>
      <c r="AO41" s="54"/>
      <c r="AP41" s="146"/>
      <c r="AQ41" s="129"/>
      <c r="AR41" s="62"/>
      <c r="AS41" s="63"/>
      <c r="AT41" s="14"/>
      <c r="AU41" s="19"/>
      <c r="AV41" s="20"/>
      <c r="AW41" s="20"/>
      <c r="AX41" s="14"/>
      <c r="AY41" s="14"/>
      <c r="AZ41" s="14"/>
      <c r="BA41" s="14"/>
      <c r="BB41" s="14"/>
    </row>
    <row r="42" spans="1:54" s="16" customFormat="1" ht="20.25" hidden="1">
      <c r="A42" s="13"/>
      <c r="B42" s="14"/>
      <c r="C42" s="13"/>
      <c r="D42" s="14"/>
      <c r="E42" s="233"/>
      <c r="F42" s="233"/>
      <c r="G42" s="43"/>
      <c r="H42" s="43"/>
      <c r="I42" s="43"/>
      <c r="J42" s="43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17"/>
      <c r="W42" s="15"/>
      <c r="X42" s="43"/>
      <c r="Y42" s="44"/>
      <c r="Z42" s="43"/>
      <c r="AA42" s="43"/>
      <c r="AB42" s="13"/>
      <c r="AC42" s="15"/>
      <c r="AD42" s="43"/>
      <c r="AE42" s="43"/>
      <c r="AF42" s="43"/>
      <c r="AG42" s="43"/>
      <c r="AH42" s="43"/>
      <c r="AI42" s="43"/>
      <c r="AJ42" s="13"/>
      <c r="AK42" s="192"/>
      <c r="AL42" s="13"/>
      <c r="AM42" s="15"/>
      <c r="AN42" s="193"/>
      <c r="AO42" s="43"/>
      <c r="AP42" s="234"/>
      <c r="AQ42" s="129"/>
      <c r="AR42" s="62"/>
      <c r="AS42" s="235"/>
      <c r="AT42" s="14"/>
      <c r="AU42" s="27"/>
      <c r="AV42" s="20"/>
      <c r="AW42" s="20"/>
      <c r="AX42" s="236"/>
      <c r="AY42" s="14"/>
      <c r="AZ42" s="14"/>
      <c r="BA42" s="14"/>
      <c r="BB42" s="14"/>
    </row>
    <row r="43" spans="1:54" s="16" customFormat="1" ht="20.25" hidden="1">
      <c r="A43" s="13"/>
      <c r="B43" s="14"/>
      <c r="C43" s="13"/>
      <c r="D43" s="14"/>
      <c r="E43" s="233"/>
      <c r="F43" s="233"/>
      <c r="G43" s="43"/>
      <c r="H43" s="43"/>
      <c r="I43" s="43"/>
      <c r="J43" s="4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17"/>
      <c r="W43" s="15"/>
      <c r="X43" s="43"/>
      <c r="Y43" s="44"/>
      <c r="Z43" s="43"/>
      <c r="AA43" s="43"/>
      <c r="AB43" s="13"/>
      <c r="AC43" s="237"/>
      <c r="AD43" s="43"/>
      <c r="AE43" s="43"/>
      <c r="AF43" s="43"/>
      <c r="AG43" s="43"/>
      <c r="AH43" s="43"/>
      <c r="AI43" s="43"/>
      <c r="AJ43" s="13"/>
      <c r="AK43" s="192"/>
      <c r="AL43" s="13"/>
      <c r="AM43" s="15"/>
      <c r="AN43" s="193"/>
      <c r="AO43" s="43"/>
      <c r="AP43" s="234"/>
      <c r="AQ43" s="129"/>
      <c r="AR43" s="62"/>
      <c r="AS43" s="235"/>
      <c r="AT43" s="14"/>
      <c r="AU43" s="238"/>
      <c r="AV43" s="14"/>
      <c r="AW43" s="14"/>
      <c r="AX43" s="14"/>
      <c r="AY43" s="14"/>
      <c r="AZ43" s="14"/>
      <c r="BA43" s="14"/>
      <c r="BB43" s="14"/>
    </row>
    <row r="44" spans="1:54" s="16" customFormat="1" ht="20.25">
      <c r="A44" s="239"/>
      <c r="B44" s="198" t="s">
        <v>72</v>
      </c>
      <c r="C44" s="604" t="s">
        <v>134</v>
      </c>
      <c r="D44" s="14"/>
      <c r="E44" s="240"/>
      <c r="F44" s="240"/>
      <c r="G44" s="241"/>
      <c r="H44" s="241"/>
      <c r="I44" s="242"/>
      <c r="J44" s="242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17"/>
      <c r="W44" s="238"/>
      <c r="X44" s="243"/>
      <c r="Y44" s="44"/>
      <c r="Z44" s="44"/>
      <c r="AA44" s="44"/>
      <c r="AB44" s="239"/>
      <c r="AC44" s="244"/>
      <c r="AD44" s="44"/>
      <c r="AE44" s="44"/>
      <c r="AF44" s="44"/>
      <c r="AG44" s="44"/>
      <c r="AH44" s="44"/>
      <c r="AI44" s="44"/>
      <c r="AJ44" s="239"/>
      <c r="AK44" s="245"/>
      <c r="AL44" s="246"/>
      <c r="AM44" s="247"/>
      <c r="AN44" s="248"/>
      <c r="AO44" s="249"/>
      <c r="AP44" s="234"/>
      <c r="AQ44" s="129"/>
      <c r="AR44" s="62"/>
      <c r="AS44" s="235"/>
      <c r="AT44" s="14"/>
      <c r="AU44" s="238"/>
      <c r="AV44" s="14"/>
      <c r="AW44" s="14"/>
      <c r="AX44" s="14"/>
      <c r="AY44" s="14"/>
      <c r="AZ44" s="14"/>
      <c r="BA44" s="14"/>
      <c r="BB44" s="14"/>
    </row>
    <row r="45" spans="1:54" s="16" customFormat="1" ht="15.75" customHeight="1">
      <c r="A45" s="250"/>
      <c r="B45" s="251"/>
      <c r="C45" s="667" t="s">
        <v>64</v>
      </c>
      <c r="D45" s="251"/>
      <c r="E45" s="252" t="s">
        <v>64</v>
      </c>
      <c r="F45" s="252"/>
      <c r="G45" s="44"/>
      <c r="H45" s="252"/>
      <c r="I45" s="668" t="s">
        <v>65</v>
      </c>
      <c r="J45" s="668"/>
      <c r="K45" s="668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4"/>
      <c r="W45" s="255"/>
      <c r="X45" s="256"/>
      <c r="Y45" s="44"/>
      <c r="Z45" s="43"/>
      <c r="AA45" s="252"/>
      <c r="AB45" s="250"/>
      <c r="AC45" s="257" t="s">
        <v>65</v>
      </c>
      <c r="AD45" s="252"/>
      <c r="AE45" s="252"/>
      <c r="AF45" s="252"/>
      <c r="AG45" s="252"/>
      <c r="AH45" s="252"/>
      <c r="AI45" s="252"/>
      <c r="AJ45" s="250"/>
      <c r="AK45" s="258"/>
      <c r="AL45" s="250"/>
      <c r="AM45" s="259"/>
      <c r="AN45" s="260"/>
      <c r="AO45" s="252"/>
      <c r="AP45" s="261"/>
      <c r="AQ45" s="262"/>
      <c r="AR45" s="62"/>
      <c r="AS45" s="235"/>
      <c r="AT45" s="14"/>
      <c r="AU45" s="238"/>
      <c r="AV45" s="14"/>
      <c r="AW45" s="14"/>
      <c r="AX45" s="14"/>
      <c r="AY45" s="14"/>
      <c r="AZ45" s="14"/>
      <c r="BA45" s="14"/>
      <c r="BB45" s="14"/>
    </row>
    <row r="46" spans="1:54" s="269" customFormat="1" ht="18.75">
      <c r="A46" s="24"/>
      <c r="B46" s="198"/>
      <c r="C46" s="667"/>
      <c r="D46" s="198"/>
      <c r="E46" s="46"/>
      <c r="F46" s="46"/>
      <c r="G46" s="217"/>
      <c r="H46" s="217"/>
      <c r="I46" s="217"/>
      <c r="J46" s="217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263"/>
      <c r="W46" s="216"/>
      <c r="X46" s="217"/>
      <c r="Y46" s="217"/>
      <c r="Z46" s="217"/>
      <c r="AA46" s="217"/>
      <c r="AB46" s="264"/>
      <c r="AC46" s="216"/>
      <c r="AD46" s="217"/>
      <c r="AE46" s="217"/>
      <c r="AF46" s="217"/>
      <c r="AG46" s="217"/>
      <c r="AH46" s="217"/>
      <c r="AI46" s="217"/>
      <c r="AJ46" s="264"/>
      <c r="AK46" s="218"/>
      <c r="AL46" s="264"/>
      <c r="AM46" s="216"/>
      <c r="AN46" s="265"/>
      <c r="AO46" s="217"/>
      <c r="AP46" s="266"/>
      <c r="AQ46" s="267"/>
      <c r="AR46" s="268"/>
      <c r="AS46" s="61"/>
      <c r="AT46" s="26"/>
      <c r="AU46" s="198"/>
      <c r="AV46" s="26"/>
      <c r="AW46" s="26"/>
      <c r="AX46" s="26"/>
      <c r="AY46" s="26"/>
      <c r="AZ46" s="26"/>
      <c r="BA46" s="26"/>
      <c r="BB46" s="26"/>
    </row>
  </sheetData>
  <sheetProtection/>
  <mergeCells count="43">
    <mergeCell ref="AT15:AU15"/>
    <mergeCell ref="AV15:BA15"/>
    <mergeCell ref="C38:H38"/>
    <mergeCell ref="C45:C46"/>
    <mergeCell ref="I45:K45"/>
    <mergeCell ref="AN14:AO15"/>
    <mergeCell ref="AP14:AP15"/>
    <mergeCell ref="AQ14:AS15"/>
    <mergeCell ref="AT14:BA14"/>
    <mergeCell ref="N15:O15"/>
    <mergeCell ref="AD15:AE15"/>
    <mergeCell ref="AF15:AG15"/>
    <mergeCell ref="AH15:AI15"/>
    <mergeCell ref="X14:Y15"/>
    <mergeCell ref="Z14:AA15"/>
    <mergeCell ref="AB14:AC15"/>
    <mergeCell ref="AD14:AI14"/>
    <mergeCell ref="AJ14:AK15"/>
    <mergeCell ref="AL14:AM15"/>
    <mergeCell ref="K14:K16"/>
    <mergeCell ref="L14:M15"/>
    <mergeCell ref="N14:S14"/>
    <mergeCell ref="T14:T16"/>
    <mergeCell ref="U14:U16"/>
    <mergeCell ref="V14:W15"/>
    <mergeCell ref="P15:Q15"/>
    <mergeCell ref="R15:S15"/>
    <mergeCell ref="AP13:AX13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C6:AX6"/>
    <mergeCell ref="C7:AX7"/>
    <mergeCell ref="C8:AX8"/>
    <mergeCell ref="C9:AX9"/>
    <mergeCell ref="C10:AX10"/>
    <mergeCell ref="C11:AX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180" verticalDpi="180" orientation="landscape" scale="1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6"/>
  <sheetViews>
    <sheetView tabSelected="1" view="pageBreakPreview" zoomScale="85" zoomScaleSheetLayoutView="85" zoomScalePageLayoutView="0" workbookViewId="0" topLeftCell="A14">
      <selection activeCell="F28" sqref="F28"/>
    </sheetView>
  </sheetViews>
  <sheetFormatPr defaultColWidth="9.140625" defaultRowHeight="15"/>
  <cols>
    <col min="1" max="1" width="3.140625" style="4" customWidth="1"/>
    <col min="2" max="2" width="6.28125" style="1" customWidth="1"/>
    <col min="3" max="3" width="23.00390625" style="4" customWidth="1"/>
    <col min="4" max="4" width="37.140625" style="4" customWidth="1"/>
    <col min="5" max="5" width="30.8515625" style="37" customWidth="1"/>
    <col min="6" max="6" width="38.7109375" style="37" customWidth="1"/>
    <col min="7" max="8" width="8.8515625" style="38" customWidth="1"/>
    <col min="9" max="9" width="16.7109375" style="38" hidden="1" customWidth="1"/>
    <col min="10" max="10" width="11.00390625" style="38" hidden="1" customWidth="1"/>
    <col min="11" max="11" width="12.57421875" style="38" hidden="1" customWidth="1"/>
    <col min="12" max="12" width="12.140625" style="38" hidden="1" customWidth="1"/>
    <col min="13" max="13" width="15.57421875" style="38" hidden="1" customWidth="1"/>
    <col min="14" max="14" width="8.8515625" style="38" hidden="1" customWidth="1"/>
    <col min="15" max="15" width="5.7109375" style="38" hidden="1" customWidth="1"/>
    <col min="16" max="16" width="8.8515625" style="38" hidden="1" customWidth="1"/>
    <col min="17" max="17" width="5.7109375" style="38" hidden="1" customWidth="1"/>
    <col min="18" max="18" width="8.8515625" style="38" hidden="1" customWidth="1"/>
    <col min="19" max="19" width="15.8515625" style="38" hidden="1" customWidth="1"/>
    <col min="20" max="21" width="15.8515625" style="39" hidden="1" customWidth="1"/>
    <col min="22" max="23" width="15.8515625" style="4" hidden="1" customWidth="1"/>
    <col min="24" max="24" width="12.57421875" style="37" hidden="1" customWidth="1"/>
    <col min="25" max="25" width="13.00390625" style="37" hidden="1" customWidth="1"/>
    <col min="26" max="26" width="8.7109375" style="37" hidden="1" customWidth="1"/>
    <col min="27" max="27" width="13.140625" style="37" hidden="1" customWidth="1"/>
    <col min="28" max="28" width="10.57421875" style="11" hidden="1" customWidth="1"/>
    <col min="29" max="29" width="13.00390625" style="4" hidden="1" customWidth="1"/>
    <col min="30" max="30" width="9.57421875" style="37" hidden="1" customWidth="1"/>
    <col min="31" max="31" width="11.57421875" style="37" hidden="1" customWidth="1"/>
    <col min="32" max="32" width="11.28125" style="37" hidden="1" customWidth="1"/>
    <col min="33" max="33" width="14.421875" style="37" hidden="1" customWidth="1"/>
    <col min="34" max="34" width="10.57421875" style="37" hidden="1" customWidth="1"/>
    <col min="35" max="35" width="13.00390625" style="37" hidden="1" customWidth="1"/>
    <col min="36" max="36" width="10.57421875" style="11" hidden="1" customWidth="1"/>
    <col min="37" max="37" width="14.140625" style="188" hidden="1" customWidth="1"/>
    <col min="38" max="38" width="10.140625" style="11" hidden="1" customWidth="1"/>
    <col min="39" max="39" width="13.00390625" style="4" hidden="1" customWidth="1"/>
    <col min="40" max="40" width="16.00390625" style="189" hidden="1" customWidth="1"/>
    <col min="41" max="41" width="14.7109375" style="37" hidden="1" customWidth="1"/>
    <col min="42" max="42" width="11.57421875" style="57" hidden="1" customWidth="1"/>
    <col min="43" max="43" width="13.00390625" style="58" hidden="1" customWidth="1"/>
    <col min="44" max="44" width="14.8515625" style="38" hidden="1" customWidth="1"/>
    <col min="45" max="45" width="15.00390625" style="38" hidden="1" customWidth="1"/>
    <col min="46" max="46" width="10.57421875" style="12" customWidth="1"/>
    <col min="47" max="47" width="14.421875" style="1" customWidth="1"/>
    <col min="48" max="48" width="10.57421875" style="270" customWidth="1"/>
    <col min="49" max="49" width="11.140625" style="1" customWidth="1"/>
    <col min="50" max="50" width="12.00390625" style="1" customWidth="1"/>
    <col min="51" max="51" width="11.140625" style="1" customWidth="1"/>
    <col min="52" max="52" width="8.421875" style="1" customWidth="1"/>
    <col min="53" max="53" width="12.140625" style="1" customWidth="1"/>
    <col min="54" max="54" width="11.57421875" style="1" customWidth="1"/>
    <col min="55" max="55" width="14.421875" style="4" customWidth="1"/>
    <col min="56" max="56" width="5.7109375" style="4" customWidth="1"/>
    <col min="57" max="57" width="9.140625" style="4" customWidth="1"/>
    <col min="58" max="16384" width="9.140625" style="4" customWidth="1"/>
  </cols>
  <sheetData>
    <row r="1" spans="2:54" s="197" customFormat="1" ht="21.75" customHeight="1">
      <c r="B1" s="198"/>
      <c r="E1" s="199"/>
      <c r="F1" s="199"/>
      <c r="G1" s="29"/>
      <c r="H1" s="2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29"/>
      <c r="U1" s="29"/>
      <c r="V1" s="200"/>
      <c r="W1" s="200"/>
      <c r="X1" s="201"/>
      <c r="Y1" s="201"/>
      <c r="Z1" s="201"/>
      <c r="AA1" s="201"/>
      <c r="AB1" s="202"/>
      <c r="AD1" s="201"/>
      <c r="AE1" s="201"/>
      <c r="AF1" s="201"/>
      <c r="AG1" s="201"/>
      <c r="AH1" s="201"/>
      <c r="AI1" s="201"/>
      <c r="AJ1" s="202"/>
      <c r="AK1" s="203"/>
      <c r="AL1" s="204" t="s">
        <v>0</v>
      </c>
      <c r="AN1" s="205"/>
      <c r="AO1" s="201"/>
      <c r="AP1" s="206"/>
      <c r="AQ1" s="207"/>
      <c r="AR1" s="201"/>
      <c r="AS1" s="201"/>
      <c r="AT1" s="202"/>
      <c r="AV1" s="208"/>
      <c r="AW1" s="208"/>
      <c r="AX1" s="208"/>
      <c r="AY1" s="208"/>
      <c r="AZ1" s="208"/>
      <c r="BA1" s="208"/>
      <c r="BB1" s="208"/>
    </row>
    <row r="2" spans="2:54" s="197" customFormat="1" ht="15" customHeight="1">
      <c r="B2" s="198"/>
      <c r="E2" s="199"/>
      <c r="F2" s="199"/>
      <c r="G2" s="29"/>
      <c r="H2" s="2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29"/>
      <c r="U2" s="29"/>
      <c r="V2" s="200"/>
      <c r="W2" s="200"/>
      <c r="X2" s="201"/>
      <c r="Y2" s="201"/>
      <c r="Z2" s="201"/>
      <c r="AA2" s="201"/>
      <c r="AB2" s="202"/>
      <c r="AD2" s="201"/>
      <c r="AE2" s="201"/>
      <c r="AF2" s="201"/>
      <c r="AG2" s="201"/>
      <c r="AH2" s="201"/>
      <c r="AI2" s="201"/>
      <c r="AJ2" s="202"/>
      <c r="AK2" s="203"/>
      <c r="AL2" s="202" t="s">
        <v>1</v>
      </c>
      <c r="AN2" s="205"/>
      <c r="AO2" s="201"/>
      <c r="AP2" s="206"/>
      <c r="AQ2" s="207"/>
      <c r="AR2" s="201"/>
      <c r="AS2" s="201"/>
      <c r="AT2" s="202"/>
      <c r="AV2" s="208"/>
      <c r="AW2" s="208"/>
      <c r="AX2" s="208"/>
      <c r="AY2" s="208"/>
      <c r="AZ2" s="208"/>
      <c r="BA2" s="208"/>
      <c r="BB2" s="208"/>
    </row>
    <row r="3" spans="2:54" s="197" customFormat="1" ht="15.75">
      <c r="B3" s="198"/>
      <c r="E3" s="199"/>
      <c r="F3" s="199"/>
      <c r="G3" s="29"/>
      <c r="H3" s="2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9"/>
      <c r="U3" s="29"/>
      <c r="V3" s="200"/>
      <c r="W3" s="200"/>
      <c r="X3" s="201"/>
      <c r="Y3" s="201"/>
      <c r="Z3" s="201"/>
      <c r="AA3" s="201"/>
      <c r="AB3" s="202"/>
      <c r="AD3" s="201"/>
      <c r="AE3" s="201"/>
      <c r="AF3" s="201"/>
      <c r="AG3" s="201"/>
      <c r="AH3" s="201"/>
      <c r="AI3" s="201"/>
      <c r="AJ3" s="202"/>
      <c r="AK3" s="203"/>
      <c r="AL3" s="202" t="s">
        <v>2</v>
      </c>
      <c r="AN3" s="205"/>
      <c r="AO3" s="201"/>
      <c r="AP3" s="206"/>
      <c r="AQ3" s="207"/>
      <c r="AR3" s="201"/>
      <c r="AS3" s="201"/>
      <c r="AT3" s="202"/>
      <c r="AV3" s="208"/>
      <c r="AW3" s="208"/>
      <c r="AX3" s="208"/>
      <c r="AY3" s="208"/>
      <c r="AZ3" s="208"/>
      <c r="BA3" s="208"/>
      <c r="BB3" s="208"/>
    </row>
    <row r="4" spans="2:54" s="197" customFormat="1" ht="15.75">
      <c r="B4" s="198"/>
      <c r="E4" s="199"/>
      <c r="F4" s="199"/>
      <c r="G4" s="29"/>
      <c r="H4" s="2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9"/>
      <c r="U4" s="29"/>
      <c r="V4" s="200"/>
      <c r="W4" s="200"/>
      <c r="X4" s="201"/>
      <c r="Y4" s="201"/>
      <c r="Z4" s="201"/>
      <c r="AA4" s="201"/>
      <c r="AB4" s="202"/>
      <c r="AD4" s="201"/>
      <c r="AE4" s="201"/>
      <c r="AF4" s="201"/>
      <c r="AG4" s="201"/>
      <c r="AH4" s="201"/>
      <c r="AI4" s="201"/>
      <c r="AJ4" s="202"/>
      <c r="AK4" s="203"/>
      <c r="AL4" s="202" t="s">
        <v>3</v>
      </c>
      <c r="AN4" s="205"/>
      <c r="AO4" s="201"/>
      <c r="AP4" s="206"/>
      <c r="AQ4" s="207"/>
      <c r="AR4" s="201"/>
      <c r="AS4" s="201"/>
      <c r="AT4" s="202"/>
      <c r="AV4" s="208"/>
      <c r="AW4" s="208"/>
      <c r="AX4" s="208"/>
      <c r="AY4" s="208"/>
      <c r="AZ4" s="208"/>
      <c r="BA4" s="208"/>
      <c r="BB4" s="208"/>
    </row>
    <row r="5" spans="2:54" s="197" customFormat="1" ht="15.75" hidden="1">
      <c r="B5" s="198"/>
      <c r="E5" s="199"/>
      <c r="F5" s="199"/>
      <c r="G5" s="29"/>
      <c r="H5" s="2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29"/>
      <c r="U5" s="29"/>
      <c r="V5" s="200"/>
      <c r="W5" s="200"/>
      <c r="X5" s="201"/>
      <c r="Y5" s="201"/>
      <c r="Z5" s="201"/>
      <c r="AA5" s="201"/>
      <c r="AB5" s="202"/>
      <c r="AD5" s="201"/>
      <c r="AE5" s="201"/>
      <c r="AF5" s="201"/>
      <c r="AG5" s="201"/>
      <c r="AH5" s="201"/>
      <c r="AI5" s="201"/>
      <c r="AJ5" s="202"/>
      <c r="AK5" s="203"/>
      <c r="AL5" s="202"/>
      <c r="AN5" s="205"/>
      <c r="AO5" s="201"/>
      <c r="AP5" s="206"/>
      <c r="AQ5" s="207"/>
      <c r="AR5" s="201"/>
      <c r="AS5" s="201"/>
      <c r="AT5" s="202"/>
      <c r="AV5" s="208"/>
      <c r="AW5" s="208"/>
      <c r="AX5" s="208"/>
      <c r="AY5" s="208"/>
      <c r="AZ5" s="208"/>
      <c r="BA5" s="208"/>
      <c r="BB5" s="208"/>
    </row>
    <row r="6" spans="2:54" s="197" customFormat="1" ht="18.75">
      <c r="B6" s="198"/>
      <c r="C6" s="645" t="s">
        <v>4</v>
      </c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45"/>
      <c r="AA6" s="645"/>
      <c r="AB6" s="645"/>
      <c r="AC6" s="645"/>
      <c r="AD6" s="645"/>
      <c r="AE6" s="645"/>
      <c r="AF6" s="645"/>
      <c r="AG6" s="645"/>
      <c r="AH6" s="645"/>
      <c r="AI6" s="645"/>
      <c r="AJ6" s="645"/>
      <c r="AK6" s="645"/>
      <c r="AL6" s="645"/>
      <c r="AM6" s="645"/>
      <c r="AN6" s="645"/>
      <c r="AO6" s="645"/>
      <c r="AP6" s="645"/>
      <c r="AQ6" s="645"/>
      <c r="AR6" s="645"/>
      <c r="AS6" s="645"/>
      <c r="AT6" s="645"/>
      <c r="AU6" s="645"/>
      <c r="AV6" s="645"/>
      <c r="AW6" s="645"/>
      <c r="AX6" s="645"/>
      <c r="AY6" s="209"/>
      <c r="AZ6" s="209"/>
      <c r="BA6" s="209"/>
      <c r="BB6" s="209"/>
    </row>
    <row r="7" spans="2:54" s="197" customFormat="1" ht="18.75">
      <c r="B7" s="198"/>
      <c r="C7" s="646" t="s">
        <v>5</v>
      </c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6"/>
      <c r="AE7" s="646"/>
      <c r="AF7" s="646"/>
      <c r="AG7" s="646"/>
      <c r="AH7" s="646"/>
      <c r="AI7" s="646"/>
      <c r="AJ7" s="646"/>
      <c r="AK7" s="646"/>
      <c r="AL7" s="646"/>
      <c r="AM7" s="646"/>
      <c r="AN7" s="646"/>
      <c r="AO7" s="646"/>
      <c r="AP7" s="646"/>
      <c r="AQ7" s="646"/>
      <c r="AR7" s="646"/>
      <c r="AS7" s="646"/>
      <c r="AT7" s="646"/>
      <c r="AU7" s="646"/>
      <c r="AV7" s="646"/>
      <c r="AW7" s="646"/>
      <c r="AX7" s="646"/>
      <c r="AY7" s="210"/>
      <c r="AZ7" s="210"/>
      <c r="BA7" s="210"/>
      <c r="BB7" s="210"/>
    </row>
    <row r="8" spans="2:54" s="197" customFormat="1" ht="18.75">
      <c r="B8" s="198"/>
      <c r="C8" s="646" t="s">
        <v>6</v>
      </c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46"/>
      <c r="AQ8" s="646"/>
      <c r="AR8" s="646"/>
      <c r="AS8" s="646"/>
      <c r="AT8" s="646"/>
      <c r="AU8" s="646"/>
      <c r="AV8" s="646"/>
      <c r="AW8" s="646"/>
      <c r="AX8" s="646"/>
      <c r="AY8" s="210"/>
      <c r="AZ8" s="210"/>
      <c r="BA8" s="210"/>
      <c r="BB8" s="210"/>
    </row>
    <row r="9" spans="2:54" s="197" customFormat="1" ht="18.75">
      <c r="B9" s="211"/>
      <c r="C9" s="647" t="s">
        <v>82</v>
      </c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7"/>
      <c r="V9" s="647"/>
      <c r="W9" s="647"/>
      <c r="X9" s="647"/>
      <c r="Y9" s="647"/>
      <c r="Z9" s="647"/>
      <c r="AA9" s="647"/>
      <c r="AB9" s="647"/>
      <c r="AC9" s="647"/>
      <c r="AD9" s="647"/>
      <c r="AE9" s="647"/>
      <c r="AF9" s="647"/>
      <c r="AG9" s="647"/>
      <c r="AH9" s="647"/>
      <c r="AI9" s="647"/>
      <c r="AJ9" s="647"/>
      <c r="AK9" s="647"/>
      <c r="AL9" s="647"/>
      <c r="AM9" s="647"/>
      <c r="AN9" s="647"/>
      <c r="AO9" s="647"/>
      <c r="AP9" s="647"/>
      <c r="AQ9" s="647"/>
      <c r="AR9" s="647"/>
      <c r="AS9" s="647"/>
      <c r="AT9" s="647"/>
      <c r="AU9" s="647"/>
      <c r="AV9" s="647"/>
      <c r="AW9" s="647"/>
      <c r="AX9" s="647"/>
      <c r="AY9" s="212"/>
      <c r="AZ9" s="212"/>
      <c r="BA9" s="212"/>
      <c r="BB9" s="212"/>
    </row>
    <row r="10" spans="2:54" s="197" customFormat="1" ht="18.75">
      <c r="B10" s="211"/>
      <c r="C10" s="647" t="s">
        <v>135</v>
      </c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7"/>
      <c r="AT10" s="647"/>
      <c r="AU10" s="647"/>
      <c r="AV10" s="647"/>
      <c r="AW10" s="647"/>
      <c r="AX10" s="647"/>
      <c r="AY10" s="212"/>
      <c r="AZ10" s="212"/>
      <c r="BA10" s="212"/>
      <c r="BB10" s="212"/>
    </row>
    <row r="11" spans="2:54" s="213" customFormat="1" ht="18.75">
      <c r="B11" s="214"/>
      <c r="C11" s="648" t="s">
        <v>7</v>
      </c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648"/>
      <c r="AQ11" s="648"/>
      <c r="AR11" s="648"/>
      <c r="AS11" s="648"/>
      <c r="AT11" s="648"/>
      <c r="AU11" s="648"/>
      <c r="AV11" s="648"/>
      <c r="AW11" s="648"/>
      <c r="AX11" s="648"/>
      <c r="AY11" s="215"/>
      <c r="AZ11" s="215"/>
      <c r="BA11" s="215"/>
      <c r="BB11" s="215"/>
    </row>
    <row r="12" spans="3:54" ht="18.75" hidden="1">
      <c r="C12" s="216"/>
      <c r="D12" s="216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6"/>
      <c r="W12" s="216"/>
      <c r="X12" s="217"/>
      <c r="Y12" s="217"/>
      <c r="Z12" s="217"/>
      <c r="AA12" s="217"/>
      <c r="AB12" s="216"/>
      <c r="AC12" s="216"/>
      <c r="AD12" s="217"/>
      <c r="AE12" s="217"/>
      <c r="AF12" s="217"/>
      <c r="AG12" s="217"/>
      <c r="AH12" s="217"/>
      <c r="AI12" s="217"/>
      <c r="AJ12" s="216"/>
      <c r="AK12" s="218"/>
      <c r="AL12" s="216"/>
      <c r="AM12" s="216"/>
      <c r="AN12" s="219"/>
      <c r="AO12" s="217"/>
      <c r="AP12" s="220"/>
      <c r="AQ12" s="221"/>
      <c r="AR12" s="222"/>
      <c r="AS12" s="222"/>
      <c r="AT12" s="221"/>
      <c r="AU12" s="222"/>
      <c r="AV12" s="222"/>
      <c r="AW12" s="222"/>
      <c r="AX12" s="222"/>
      <c r="AY12" s="222"/>
      <c r="AZ12" s="222"/>
      <c r="BA12" s="222"/>
      <c r="BB12" s="222"/>
    </row>
    <row r="13" spans="3:54" ht="20.25" customHeight="1" hidden="1">
      <c r="C13" s="223"/>
      <c r="D13" s="223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3"/>
      <c r="W13" s="223"/>
      <c r="X13" s="224"/>
      <c r="Y13" s="224"/>
      <c r="Z13" s="224"/>
      <c r="AA13" s="224"/>
      <c r="AB13" s="223"/>
      <c r="AC13" s="223"/>
      <c r="AD13" s="224"/>
      <c r="AE13" s="224"/>
      <c r="AF13" s="224"/>
      <c r="AG13" s="224"/>
      <c r="AH13" s="224"/>
      <c r="AI13" s="224"/>
      <c r="AJ13" s="223"/>
      <c r="AK13" s="225"/>
      <c r="AL13" s="223"/>
      <c r="AM13" s="223"/>
      <c r="AN13" s="226"/>
      <c r="AO13" s="224"/>
      <c r="AP13" s="649"/>
      <c r="AQ13" s="649"/>
      <c r="AR13" s="649"/>
      <c r="AS13" s="649"/>
      <c r="AT13" s="649"/>
      <c r="AU13" s="649"/>
      <c r="AV13" s="649"/>
      <c r="AW13" s="649"/>
      <c r="AX13" s="649"/>
      <c r="AY13" s="605"/>
      <c r="AZ13" s="603"/>
      <c r="BA13" s="603"/>
      <c r="BB13" s="603"/>
    </row>
    <row r="14" spans="2:54" s="1" customFormat="1" ht="29.25" customHeight="1">
      <c r="B14" s="633" t="s">
        <v>8</v>
      </c>
      <c r="C14" s="626" t="s">
        <v>9</v>
      </c>
      <c r="D14" s="626" t="s">
        <v>10</v>
      </c>
      <c r="E14" s="650" t="s">
        <v>11</v>
      </c>
      <c r="F14" s="650" t="s">
        <v>102</v>
      </c>
      <c r="G14" s="653" t="s">
        <v>12</v>
      </c>
      <c r="H14" s="653" t="s">
        <v>13</v>
      </c>
      <c r="I14" s="650" t="s">
        <v>14</v>
      </c>
      <c r="J14" s="650" t="s">
        <v>15</v>
      </c>
      <c r="K14" s="650" t="s">
        <v>16</v>
      </c>
      <c r="L14" s="654" t="s">
        <v>119</v>
      </c>
      <c r="M14" s="654"/>
      <c r="N14" s="655" t="s">
        <v>17</v>
      </c>
      <c r="O14" s="656"/>
      <c r="P14" s="656"/>
      <c r="Q14" s="656"/>
      <c r="R14" s="656"/>
      <c r="S14" s="657"/>
      <c r="T14" s="658" t="s">
        <v>18</v>
      </c>
      <c r="U14" s="658" t="s">
        <v>19</v>
      </c>
      <c r="V14" s="629" t="s">
        <v>20</v>
      </c>
      <c r="W14" s="630"/>
      <c r="X14" s="661" t="s">
        <v>21</v>
      </c>
      <c r="Y14" s="662"/>
      <c r="Z14" s="661" t="s">
        <v>22</v>
      </c>
      <c r="AA14" s="662"/>
      <c r="AB14" s="606" t="s">
        <v>23</v>
      </c>
      <c r="AC14" s="606"/>
      <c r="AD14" s="665" t="s">
        <v>71</v>
      </c>
      <c r="AE14" s="665"/>
      <c r="AF14" s="665"/>
      <c r="AG14" s="665"/>
      <c r="AH14" s="665"/>
      <c r="AI14" s="665"/>
      <c r="AJ14" s="606" t="s">
        <v>91</v>
      </c>
      <c r="AK14" s="606"/>
      <c r="AL14" s="606" t="s">
        <v>92</v>
      </c>
      <c r="AM14" s="606"/>
      <c r="AN14" s="666" t="s">
        <v>136</v>
      </c>
      <c r="AO14" s="666"/>
      <c r="AP14" s="669" t="s">
        <v>24</v>
      </c>
      <c r="AQ14" s="666" t="s">
        <v>25</v>
      </c>
      <c r="AR14" s="665"/>
      <c r="AS14" s="665"/>
      <c r="AT14" s="615" t="s">
        <v>137</v>
      </c>
      <c r="AU14" s="616"/>
      <c r="AV14" s="616"/>
      <c r="AW14" s="616"/>
      <c r="AX14" s="616"/>
      <c r="AY14" s="616"/>
      <c r="AZ14" s="616"/>
      <c r="BA14" s="616"/>
      <c r="BB14" s="617"/>
    </row>
    <row r="15" spans="2:54" s="1" customFormat="1" ht="33.75" customHeight="1">
      <c r="B15" s="634"/>
      <c r="C15" s="627"/>
      <c r="D15" s="627"/>
      <c r="E15" s="651"/>
      <c r="F15" s="651"/>
      <c r="G15" s="653"/>
      <c r="H15" s="653"/>
      <c r="I15" s="651"/>
      <c r="J15" s="651"/>
      <c r="K15" s="651"/>
      <c r="L15" s="654"/>
      <c r="M15" s="654"/>
      <c r="N15" s="655" t="s">
        <v>26</v>
      </c>
      <c r="O15" s="657"/>
      <c r="P15" s="655" t="s">
        <v>86</v>
      </c>
      <c r="Q15" s="657"/>
      <c r="R15" s="655" t="s">
        <v>87</v>
      </c>
      <c r="S15" s="657"/>
      <c r="T15" s="659"/>
      <c r="U15" s="659"/>
      <c r="V15" s="631"/>
      <c r="W15" s="632"/>
      <c r="X15" s="663"/>
      <c r="Y15" s="664"/>
      <c r="Z15" s="663"/>
      <c r="AA15" s="664"/>
      <c r="AB15" s="606"/>
      <c r="AC15" s="606"/>
      <c r="AD15" s="654" t="s">
        <v>88</v>
      </c>
      <c r="AE15" s="654"/>
      <c r="AF15" s="654" t="s">
        <v>89</v>
      </c>
      <c r="AG15" s="654"/>
      <c r="AH15" s="654" t="s">
        <v>90</v>
      </c>
      <c r="AI15" s="654"/>
      <c r="AJ15" s="606"/>
      <c r="AK15" s="606"/>
      <c r="AL15" s="606"/>
      <c r="AM15" s="606"/>
      <c r="AN15" s="666"/>
      <c r="AO15" s="666"/>
      <c r="AP15" s="669"/>
      <c r="AQ15" s="665"/>
      <c r="AR15" s="665"/>
      <c r="AS15" s="665"/>
      <c r="AT15" s="614" t="s">
        <v>27</v>
      </c>
      <c r="AU15" s="614"/>
      <c r="AV15" s="607" t="s">
        <v>28</v>
      </c>
      <c r="AW15" s="608"/>
      <c r="AX15" s="608"/>
      <c r="AY15" s="608"/>
      <c r="AZ15" s="608"/>
      <c r="BA15" s="608"/>
      <c r="BB15" s="609"/>
    </row>
    <row r="16" spans="2:54" ht="72">
      <c r="B16" s="635"/>
      <c r="C16" s="628"/>
      <c r="D16" s="628"/>
      <c r="E16" s="652"/>
      <c r="F16" s="652"/>
      <c r="G16" s="653"/>
      <c r="H16" s="653"/>
      <c r="I16" s="652"/>
      <c r="J16" s="652"/>
      <c r="K16" s="652"/>
      <c r="L16" s="602" t="s">
        <v>29</v>
      </c>
      <c r="M16" s="602" t="s">
        <v>30</v>
      </c>
      <c r="N16" s="602" t="s">
        <v>29</v>
      </c>
      <c r="O16" s="602" t="s">
        <v>30</v>
      </c>
      <c r="P16" s="602" t="s">
        <v>29</v>
      </c>
      <c r="Q16" s="602" t="s">
        <v>30</v>
      </c>
      <c r="R16" s="602" t="s">
        <v>29</v>
      </c>
      <c r="S16" s="602" t="s">
        <v>30</v>
      </c>
      <c r="T16" s="660"/>
      <c r="U16" s="660"/>
      <c r="V16" s="2" t="s">
        <v>31</v>
      </c>
      <c r="W16" s="2" t="s">
        <v>32</v>
      </c>
      <c r="X16" s="47" t="s">
        <v>31</v>
      </c>
      <c r="Y16" s="47" t="s">
        <v>32</v>
      </c>
      <c r="Z16" s="47" t="s">
        <v>31</v>
      </c>
      <c r="AA16" s="47" t="s">
        <v>32</v>
      </c>
      <c r="AB16" s="600" t="s">
        <v>33</v>
      </c>
      <c r="AC16" s="600" t="s">
        <v>34</v>
      </c>
      <c r="AD16" s="50" t="s">
        <v>29</v>
      </c>
      <c r="AE16" s="50" t="s">
        <v>30</v>
      </c>
      <c r="AF16" s="50" t="s">
        <v>29</v>
      </c>
      <c r="AG16" s="50" t="s">
        <v>30</v>
      </c>
      <c r="AH16" s="50" t="s">
        <v>29</v>
      </c>
      <c r="AI16" s="50" t="s">
        <v>30</v>
      </c>
      <c r="AJ16" s="600" t="s">
        <v>33</v>
      </c>
      <c r="AK16" s="176" t="s">
        <v>34</v>
      </c>
      <c r="AL16" s="600" t="s">
        <v>33</v>
      </c>
      <c r="AM16" s="600" t="s">
        <v>34</v>
      </c>
      <c r="AN16" s="177" t="s">
        <v>33</v>
      </c>
      <c r="AO16" s="55" t="s">
        <v>34</v>
      </c>
      <c r="AP16" s="53" t="s">
        <v>33</v>
      </c>
      <c r="AQ16" s="601" t="s">
        <v>33</v>
      </c>
      <c r="AR16" s="601" t="s">
        <v>35</v>
      </c>
      <c r="AS16" s="601" t="s">
        <v>34</v>
      </c>
      <c r="AT16" s="600" t="s">
        <v>33</v>
      </c>
      <c r="AU16" s="600" t="s">
        <v>34</v>
      </c>
      <c r="AV16" s="158" t="s">
        <v>81</v>
      </c>
      <c r="AW16" s="159" t="s">
        <v>37</v>
      </c>
      <c r="AX16" s="159" t="s">
        <v>138</v>
      </c>
      <c r="AY16" s="159" t="s">
        <v>36</v>
      </c>
      <c r="AZ16" s="159" t="s">
        <v>67</v>
      </c>
      <c r="BA16" s="159" t="s">
        <v>66</v>
      </c>
      <c r="BB16" s="159" t="s">
        <v>38</v>
      </c>
    </row>
    <row r="17" spans="2:56" s="472" customFormat="1" ht="15.75">
      <c r="B17" s="473">
        <v>1</v>
      </c>
      <c r="C17" s="388" t="s">
        <v>44</v>
      </c>
      <c r="D17" s="474" t="s">
        <v>108</v>
      </c>
      <c r="E17" s="475" t="s">
        <v>110</v>
      </c>
      <c r="F17" s="476" t="s">
        <v>112</v>
      </c>
      <c r="G17" s="391" t="s">
        <v>47</v>
      </c>
      <c r="H17" s="391" t="s">
        <v>47</v>
      </c>
      <c r="I17" s="477">
        <v>168</v>
      </c>
      <c r="J17" s="477">
        <v>200</v>
      </c>
      <c r="K17" s="477">
        <v>429.52</v>
      </c>
      <c r="L17" s="391">
        <v>33600</v>
      </c>
      <c r="M17" s="557">
        <v>14431872</v>
      </c>
      <c r="N17" s="478"/>
      <c r="O17" s="478"/>
      <c r="P17" s="478"/>
      <c r="Q17" s="478"/>
      <c r="R17" s="478"/>
      <c r="S17" s="478"/>
      <c r="T17" s="479">
        <v>1121842</v>
      </c>
      <c r="U17" s="480">
        <v>44773</v>
      </c>
      <c r="V17" s="481">
        <v>309</v>
      </c>
      <c r="W17" s="482">
        <v>43873</v>
      </c>
      <c r="X17" s="481" t="s">
        <v>113</v>
      </c>
      <c r="Y17" s="482">
        <v>43878</v>
      </c>
      <c r="Z17" s="481"/>
      <c r="AA17" s="481"/>
      <c r="AB17" s="397">
        <v>0</v>
      </c>
      <c r="AC17" s="397">
        <v>0</v>
      </c>
      <c r="AD17" s="483"/>
      <c r="AE17" s="483"/>
      <c r="AF17" s="483">
        <v>2520</v>
      </c>
      <c r="AG17" s="483">
        <v>963704.25</v>
      </c>
      <c r="AH17" s="483"/>
      <c r="AI17" s="483"/>
      <c r="AJ17" s="400">
        <f aca="true" t="shared" si="0" ref="AJ17:AK36">AD17+AF17+AH17</f>
        <v>2520</v>
      </c>
      <c r="AK17" s="403">
        <f t="shared" si="0"/>
        <v>963704.25</v>
      </c>
      <c r="AL17" s="503">
        <f aca="true" t="shared" si="1" ref="AL17:AL22">AB17+AJ17-AT17</f>
        <v>0</v>
      </c>
      <c r="AM17" s="403">
        <f aca="true" t="shared" si="2" ref="AM17:AM22">AC17+AG17-AS17</f>
        <v>963704.25</v>
      </c>
      <c r="AN17" s="504">
        <v>2520</v>
      </c>
      <c r="AO17" s="505">
        <v>963704.24999856</v>
      </c>
      <c r="AP17" s="403"/>
      <c r="AQ17" s="403"/>
      <c r="AR17" s="403">
        <v>382.422321428</v>
      </c>
      <c r="AS17" s="401">
        <f aca="true" t="shared" si="3" ref="AS17:AS22">AQ17*AR17</f>
        <v>0</v>
      </c>
      <c r="AT17" s="511">
        <f>SUM(AV17:BB17)</f>
        <v>2520</v>
      </c>
      <c r="AU17" s="403">
        <f aca="true" t="shared" si="4" ref="AU17:AU22">AR17*AT17</f>
        <v>963704.24999856</v>
      </c>
      <c r="AV17" s="514">
        <v>2520</v>
      </c>
      <c r="AW17" s="506"/>
      <c r="AX17" s="506"/>
      <c r="AY17" s="506"/>
      <c r="AZ17" s="506"/>
      <c r="BA17" s="506"/>
      <c r="BB17" s="506"/>
      <c r="BC17" s="407">
        <f aca="true" t="shared" si="5" ref="BC17:BC40">AB17+AJ17-AL17</f>
        <v>2520</v>
      </c>
      <c r="BD17" s="407">
        <f aca="true" t="shared" si="6" ref="BD17:BD40">BC17-AT17</f>
        <v>0</v>
      </c>
    </row>
    <row r="18" spans="2:56" s="472" customFormat="1" ht="15.75">
      <c r="B18" s="473"/>
      <c r="C18" s="388" t="s">
        <v>44</v>
      </c>
      <c r="D18" s="474" t="s">
        <v>128</v>
      </c>
      <c r="E18" s="475" t="s">
        <v>110</v>
      </c>
      <c r="F18" s="476" t="s">
        <v>112</v>
      </c>
      <c r="G18" s="391" t="s">
        <v>47</v>
      </c>
      <c r="H18" s="391" t="s">
        <v>47</v>
      </c>
      <c r="I18" s="477"/>
      <c r="J18" s="477"/>
      <c r="K18" s="477"/>
      <c r="L18" s="391"/>
      <c r="M18" s="557"/>
      <c r="N18" s="478"/>
      <c r="O18" s="478"/>
      <c r="P18" s="478"/>
      <c r="Q18" s="478"/>
      <c r="R18" s="478"/>
      <c r="S18" s="478"/>
      <c r="T18" s="479">
        <v>1121842</v>
      </c>
      <c r="U18" s="480">
        <v>44773</v>
      </c>
      <c r="V18" s="481">
        <v>816</v>
      </c>
      <c r="W18" s="482">
        <v>43928</v>
      </c>
      <c r="X18" s="481" t="s">
        <v>130</v>
      </c>
      <c r="Y18" s="482">
        <v>43934</v>
      </c>
      <c r="Z18" s="481"/>
      <c r="AA18" s="481"/>
      <c r="AB18" s="397">
        <v>0</v>
      </c>
      <c r="AC18" s="397">
        <v>0</v>
      </c>
      <c r="AD18" s="483"/>
      <c r="AE18" s="483"/>
      <c r="AF18" s="483">
        <v>2912</v>
      </c>
      <c r="AG18" s="483">
        <v>1113613.8</v>
      </c>
      <c r="AH18" s="483"/>
      <c r="AI18" s="483"/>
      <c r="AJ18" s="400">
        <f>AD18+AF18+AH18</f>
        <v>2912</v>
      </c>
      <c r="AK18" s="403">
        <f>AE18+AG18+AI18</f>
        <v>1113613.8</v>
      </c>
      <c r="AL18" s="503">
        <f t="shared" si="1"/>
        <v>0</v>
      </c>
      <c r="AM18" s="403">
        <f t="shared" si="2"/>
        <v>1113613.8</v>
      </c>
      <c r="AN18" s="504">
        <v>2912</v>
      </c>
      <c r="AO18" s="505">
        <v>1113613.8</v>
      </c>
      <c r="AP18" s="403"/>
      <c r="AQ18" s="403"/>
      <c r="AR18" s="403">
        <v>382.4223214285714</v>
      </c>
      <c r="AS18" s="401">
        <f t="shared" si="3"/>
        <v>0</v>
      </c>
      <c r="AT18" s="511">
        <f>SUM(AV18:BB18)</f>
        <v>2912</v>
      </c>
      <c r="AU18" s="403">
        <f t="shared" si="4"/>
        <v>1113613.8</v>
      </c>
      <c r="AV18" s="514">
        <v>2912</v>
      </c>
      <c r="AW18" s="506"/>
      <c r="AX18" s="506"/>
      <c r="AY18" s="506"/>
      <c r="AZ18" s="506"/>
      <c r="BA18" s="506"/>
      <c r="BB18" s="506"/>
      <c r="BC18" s="407">
        <f t="shared" si="5"/>
        <v>2912</v>
      </c>
      <c r="BD18" s="407">
        <f t="shared" si="6"/>
        <v>0</v>
      </c>
    </row>
    <row r="19" spans="2:56" s="484" customFormat="1" ht="15.75">
      <c r="B19" s="485">
        <v>2</v>
      </c>
      <c r="C19" s="486" t="s">
        <v>44</v>
      </c>
      <c r="D19" s="487" t="s">
        <v>109</v>
      </c>
      <c r="E19" s="488" t="s">
        <v>111</v>
      </c>
      <c r="F19" s="489" t="s">
        <v>112</v>
      </c>
      <c r="G19" s="490" t="s">
        <v>47</v>
      </c>
      <c r="H19" s="490" t="s">
        <v>47</v>
      </c>
      <c r="I19" s="491">
        <v>168</v>
      </c>
      <c r="J19" s="491">
        <v>200</v>
      </c>
      <c r="K19" s="491">
        <v>37.37</v>
      </c>
      <c r="L19" s="490">
        <v>33600</v>
      </c>
      <c r="M19" s="558">
        <v>1255632</v>
      </c>
      <c r="N19" s="492"/>
      <c r="O19" s="492"/>
      <c r="P19" s="492"/>
      <c r="Q19" s="492"/>
      <c r="R19" s="492"/>
      <c r="S19" s="492"/>
      <c r="T19" s="493">
        <v>1121711</v>
      </c>
      <c r="U19" s="494">
        <v>44712</v>
      </c>
      <c r="V19" s="495">
        <v>309</v>
      </c>
      <c r="W19" s="496">
        <v>43873</v>
      </c>
      <c r="X19" s="495" t="s">
        <v>113</v>
      </c>
      <c r="Y19" s="496">
        <v>43878</v>
      </c>
      <c r="Z19" s="495"/>
      <c r="AA19" s="495"/>
      <c r="AB19" s="497">
        <v>0</v>
      </c>
      <c r="AC19" s="497">
        <v>0</v>
      </c>
      <c r="AD19" s="498"/>
      <c r="AE19" s="498"/>
      <c r="AF19" s="498">
        <v>2520</v>
      </c>
      <c r="AG19" s="498">
        <v>83795.85</v>
      </c>
      <c r="AH19" s="498"/>
      <c r="AI19" s="498"/>
      <c r="AJ19" s="499">
        <f t="shared" si="0"/>
        <v>2520</v>
      </c>
      <c r="AK19" s="500">
        <f t="shared" si="0"/>
        <v>83795.85</v>
      </c>
      <c r="AL19" s="507">
        <f t="shared" si="1"/>
        <v>0</v>
      </c>
      <c r="AM19" s="500">
        <f t="shared" si="2"/>
        <v>83795.85</v>
      </c>
      <c r="AN19" s="508">
        <v>2520</v>
      </c>
      <c r="AO19" s="509">
        <v>83795.85000107999</v>
      </c>
      <c r="AP19" s="500"/>
      <c r="AQ19" s="500"/>
      <c r="AR19" s="500">
        <v>33.252321429</v>
      </c>
      <c r="AS19" s="501">
        <f t="shared" si="3"/>
        <v>0</v>
      </c>
      <c r="AT19" s="512">
        <f>SUM(AV19:BB19)</f>
        <v>2520</v>
      </c>
      <c r="AU19" s="500">
        <f t="shared" si="4"/>
        <v>83795.85000107999</v>
      </c>
      <c r="AV19" s="515">
        <v>2520</v>
      </c>
      <c r="AW19" s="510"/>
      <c r="AX19" s="510"/>
      <c r="AY19" s="510"/>
      <c r="AZ19" s="510"/>
      <c r="BA19" s="510"/>
      <c r="BB19" s="510"/>
      <c r="BC19" s="407">
        <f t="shared" si="5"/>
        <v>2520</v>
      </c>
      <c r="BD19" s="407">
        <f t="shared" si="6"/>
        <v>0</v>
      </c>
    </row>
    <row r="20" spans="2:56" s="484" customFormat="1" ht="15.75">
      <c r="B20" s="485"/>
      <c r="C20" s="486" t="s">
        <v>44</v>
      </c>
      <c r="D20" s="487" t="s">
        <v>129</v>
      </c>
      <c r="E20" s="488" t="s">
        <v>111</v>
      </c>
      <c r="F20" s="489" t="s">
        <v>112</v>
      </c>
      <c r="G20" s="490" t="s">
        <v>47</v>
      </c>
      <c r="H20" s="490" t="s">
        <v>47</v>
      </c>
      <c r="I20" s="491"/>
      <c r="J20" s="491"/>
      <c r="K20" s="491"/>
      <c r="L20" s="490"/>
      <c r="M20" s="558"/>
      <c r="N20" s="492"/>
      <c r="O20" s="492"/>
      <c r="P20" s="492"/>
      <c r="Q20" s="492"/>
      <c r="R20" s="492"/>
      <c r="S20" s="492"/>
      <c r="T20" s="493">
        <v>1121711</v>
      </c>
      <c r="U20" s="494">
        <v>44712</v>
      </c>
      <c r="V20" s="481">
        <v>816</v>
      </c>
      <c r="W20" s="482">
        <v>43928</v>
      </c>
      <c r="X20" s="481" t="s">
        <v>130</v>
      </c>
      <c r="Y20" s="482">
        <v>43934</v>
      </c>
      <c r="Z20" s="495"/>
      <c r="AA20" s="495"/>
      <c r="AB20" s="497">
        <v>0</v>
      </c>
      <c r="AC20" s="497">
        <v>0</v>
      </c>
      <c r="AD20" s="498"/>
      <c r="AE20" s="498"/>
      <c r="AF20" s="498">
        <v>2912</v>
      </c>
      <c r="AG20" s="498">
        <v>95583.8</v>
      </c>
      <c r="AH20" s="498"/>
      <c r="AI20" s="498"/>
      <c r="AJ20" s="499">
        <f>AD20+AF20+AH20</f>
        <v>2912</v>
      </c>
      <c r="AK20" s="500">
        <f>AE20+AG20+AI20</f>
        <v>95583.8</v>
      </c>
      <c r="AL20" s="507">
        <f t="shared" si="1"/>
        <v>0</v>
      </c>
      <c r="AM20" s="500">
        <f t="shared" si="2"/>
        <v>95583.8</v>
      </c>
      <c r="AN20" s="508">
        <v>2912</v>
      </c>
      <c r="AO20" s="509">
        <v>95583.8</v>
      </c>
      <c r="AP20" s="500"/>
      <c r="AQ20" s="500"/>
      <c r="AR20" s="500">
        <v>32.824107142857144</v>
      </c>
      <c r="AS20" s="501">
        <f t="shared" si="3"/>
        <v>0</v>
      </c>
      <c r="AT20" s="512">
        <f>SUM(AV20:BB20)</f>
        <v>2912</v>
      </c>
      <c r="AU20" s="500">
        <f t="shared" si="4"/>
        <v>95583.8</v>
      </c>
      <c r="AV20" s="515">
        <v>2912</v>
      </c>
      <c r="AW20" s="510"/>
      <c r="AX20" s="510"/>
      <c r="AY20" s="510"/>
      <c r="AZ20" s="510"/>
      <c r="BA20" s="510"/>
      <c r="BB20" s="510"/>
      <c r="BC20" s="407">
        <f t="shared" si="5"/>
        <v>2912</v>
      </c>
      <c r="BD20" s="407">
        <f t="shared" si="6"/>
        <v>0</v>
      </c>
    </row>
    <row r="21" spans="2:56" s="144" customFormat="1" ht="15.75">
      <c r="B21" s="365">
        <v>3</v>
      </c>
      <c r="C21" s="131" t="s">
        <v>44</v>
      </c>
      <c r="D21" s="145" t="s">
        <v>75</v>
      </c>
      <c r="E21" s="470" t="s">
        <v>69</v>
      </c>
      <c r="F21" s="471" t="s">
        <v>104</v>
      </c>
      <c r="G21" s="134" t="s">
        <v>47</v>
      </c>
      <c r="H21" s="134" t="s">
        <v>47</v>
      </c>
      <c r="I21" s="561">
        <v>84</v>
      </c>
      <c r="J21" s="561">
        <v>895</v>
      </c>
      <c r="K21" s="559">
        <v>249.07</v>
      </c>
      <c r="L21" s="562">
        <f>I21*J21</f>
        <v>75180</v>
      </c>
      <c r="M21" s="559">
        <f>K21*L21</f>
        <v>18725082.599999998</v>
      </c>
      <c r="N21" s="135"/>
      <c r="O21" s="135"/>
      <c r="P21" s="135"/>
      <c r="Q21" s="135"/>
      <c r="R21" s="135"/>
      <c r="S21" s="135"/>
      <c r="T21" s="132">
        <v>3098197</v>
      </c>
      <c r="U21" s="136">
        <v>44104</v>
      </c>
      <c r="V21" s="137">
        <v>1571</v>
      </c>
      <c r="W21" s="138">
        <v>43654</v>
      </c>
      <c r="X21" s="137" t="s">
        <v>76</v>
      </c>
      <c r="Y21" s="138">
        <v>43668</v>
      </c>
      <c r="Z21" s="137"/>
      <c r="AA21" s="137"/>
      <c r="AB21" s="139">
        <v>1064</v>
      </c>
      <c r="AC21" s="139">
        <v>33679.779999544</v>
      </c>
      <c r="AD21" s="140"/>
      <c r="AE21" s="140"/>
      <c r="AF21" s="140"/>
      <c r="AG21" s="140"/>
      <c r="AH21" s="140"/>
      <c r="AI21" s="140"/>
      <c r="AJ21" s="141">
        <f t="shared" si="0"/>
        <v>0</v>
      </c>
      <c r="AK21" s="178">
        <f t="shared" si="0"/>
        <v>0</v>
      </c>
      <c r="AL21" s="141">
        <f t="shared" si="1"/>
        <v>1064</v>
      </c>
      <c r="AM21" s="142">
        <f t="shared" si="2"/>
        <v>33679.779999544</v>
      </c>
      <c r="AN21" s="179">
        <v>0</v>
      </c>
      <c r="AO21" s="142">
        <v>0</v>
      </c>
      <c r="AP21" s="143"/>
      <c r="AQ21" s="139"/>
      <c r="AR21" s="139">
        <v>31.653928571</v>
      </c>
      <c r="AS21" s="142">
        <f t="shared" si="3"/>
        <v>0</v>
      </c>
      <c r="AT21" s="141">
        <f>SUM(AV21:BB21)</f>
        <v>0</v>
      </c>
      <c r="AU21" s="142">
        <f t="shared" si="4"/>
        <v>0</v>
      </c>
      <c r="AV21" s="139">
        <f>1064-1064</f>
        <v>0</v>
      </c>
      <c r="AW21" s="131">
        <f>1064-588-476</f>
        <v>0</v>
      </c>
      <c r="AX21" s="131"/>
      <c r="AY21" s="131"/>
      <c r="AZ21" s="131"/>
      <c r="BA21" s="131"/>
      <c r="BB21" s="131"/>
      <c r="BC21" s="407">
        <f t="shared" si="5"/>
        <v>0</v>
      </c>
      <c r="BD21" s="407">
        <f t="shared" si="6"/>
        <v>0</v>
      </c>
    </row>
    <row r="22" spans="2:56" s="144" customFormat="1" ht="15.75">
      <c r="B22" s="365">
        <v>4</v>
      </c>
      <c r="C22" s="131" t="s">
        <v>44</v>
      </c>
      <c r="D22" s="145" t="s">
        <v>95</v>
      </c>
      <c r="E22" s="470" t="s">
        <v>69</v>
      </c>
      <c r="F22" s="471" t="s">
        <v>104</v>
      </c>
      <c r="G22" s="134" t="s">
        <v>47</v>
      </c>
      <c r="H22" s="134" t="s">
        <v>47</v>
      </c>
      <c r="I22" s="133"/>
      <c r="J22" s="133"/>
      <c r="K22" s="133"/>
      <c r="L22" s="134"/>
      <c r="M22" s="559"/>
      <c r="N22" s="135"/>
      <c r="O22" s="135"/>
      <c r="P22" s="135"/>
      <c r="Q22" s="135"/>
      <c r="R22" s="135"/>
      <c r="S22" s="135"/>
      <c r="T22" s="132">
        <v>3106643</v>
      </c>
      <c r="U22" s="136">
        <v>44377</v>
      </c>
      <c r="V22" s="137">
        <v>79</v>
      </c>
      <c r="W22" s="138">
        <v>43845</v>
      </c>
      <c r="X22" s="137" t="s">
        <v>96</v>
      </c>
      <c r="Y22" s="138">
        <v>43857</v>
      </c>
      <c r="Z22" s="137"/>
      <c r="AA22" s="137"/>
      <c r="AB22" s="139">
        <v>0</v>
      </c>
      <c r="AC22" s="139">
        <v>0</v>
      </c>
      <c r="AD22" s="140">
        <v>588</v>
      </c>
      <c r="AE22" s="140">
        <v>18847.29</v>
      </c>
      <c r="AF22" s="140"/>
      <c r="AG22" s="140"/>
      <c r="AH22" s="140"/>
      <c r="AI22" s="140"/>
      <c r="AJ22" s="141">
        <f t="shared" si="0"/>
        <v>588</v>
      </c>
      <c r="AK22" s="178">
        <f t="shared" si="0"/>
        <v>18847.29</v>
      </c>
      <c r="AL22" s="141">
        <f t="shared" si="1"/>
        <v>308</v>
      </c>
      <c r="AM22" s="142">
        <f t="shared" si="2"/>
        <v>0</v>
      </c>
      <c r="AN22" s="179">
        <v>280</v>
      </c>
      <c r="AO22" s="142">
        <v>8974.90000008</v>
      </c>
      <c r="AP22" s="143"/>
      <c r="AQ22" s="139"/>
      <c r="AR22" s="139">
        <v>32.053214286</v>
      </c>
      <c r="AS22" s="142">
        <f t="shared" si="3"/>
        <v>0</v>
      </c>
      <c r="AT22" s="141">
        <f aca="true" t="shared" si="7" ref="AT22:AT34">SUM(AV22:BB22)</f>
        <v>280</v>
      </c>
      <c r="AU22" s="142">
        <f t="shared" si="4"/>
        <v>8974.90000008</v>
      </c>
      <c r="AV22" s="139">
        <f>588-588</f>
        <v>0</v>
      </c>
      <c r="AW22" s="131">
        <f>588-308</f>
        <v>280</v>
      </c>
      <c r="AX22" s="131"/>
      <c r="AY22" s="131"/>
      <c r="AZ22" s="131"/>
      <c r="BA22" s="131"/>
      <c r="BB22" s="131"/>
      <c r="BC22" s="407">
        <f t="shared" si="5"/>
        <v>280</v>
      </c>
      <c r="BD22" s="407">
        <f t="shared" si="6"/>
        <v>0</v>
      </c>
    </row>
    <row r="23" spans="2:56" s="520" customFormat="1" ht="15.75" hidden="1">
      <c r="B23" s="521"/>
      <c r="C23" s="522"/>
      <c r="D23" s="523" t="s">
        <v>117</v>
      </c>
      <c r="E23" s="540" t="s">
        <v>39</v>
      </c>
      <c r="F23" s="524"/>
      <c r="G23" s="525" t="s">
        <v>118</v>
      </c>
      <c r="H23" s="525" t="s">
        <v>118</v>
      </c>
      <c r="I23" s="526">
        <v>504</v>
      </c>
      <c r="J23" s="526">
        <v>895</v>
      </c>
      <c r="K23" s="526">
        <v>2.79</v>
      </c>
      <c r="L23" s="525">
        <v>451080</v>
      </c>
      <c r="M23" s="560">
        <v>1258513.2</v>
      </c>
      <c r="N23" s="527"/>
      <c r="O23" s="527"/>
      <c r="P23" s="527"/>
      <c r="Q23" s="527"/>
      <c r="R23" s="527"/>
      <c r="S23" s="527"/>
      <c r="T23" s="528"/>
      <c r="U23" s="529"/>
      <c r="V23" s="530"/>
      <c r="W23" s="531"/>
      <c r="X23" s="530"/>
      <c r="Y23" s="531"/>
      <c r="Z23" s="530"/>
      <c r="AA23" s="530"/>
      <c r="AB23" s="532">
        <v>0</v>
      </c>
      <c r="AC23" s="532">
        <v>0</v>
      </c>
      <c r="AD23" s="533"/>
      <c r="AE23" s="533"/>
      <c r="AF23" s="533"/>
      <c r="AG23" s="533"/>
      <c r="AH23" s="533"/>
      <c r="AI23" s="533"/>
      <c r="AJ23" s="534">
        <v>0</v>
      </c>
      <c r="AK23" s="535">
        <v>0</v>
      </c>
      <c r="AL23" s="534">
        <v>0</v>
      </c>
      <c r="AM23" s="536">
        <v>0</v>
      </c>
      <c r="AN23" s="537">
        <v>0</v>
      </c>
      <c r="AO23" s="536">
        <v>0</v>
      </c>
      <c r="AP23" s="538"/>
      <c r="AQ23" s="532"/>
      <c r="AR23" s="532">
        <v>0</v>
      </c>
      <c r="AS23" s="536">
        <v>0</v>
      </c>
      <c r="AT23" s="534">
        <v>0</v>
      </c>
      <c r="AU23" s="536">
        <v>0</v>
      </c>
      <c r="AV23" s="532">
        <v>0</v>
      </c>
      <c r="AW23" s="522"/>
      <c r="AX23" s="522"/>
      <c r="AY23" s="522"/>
      <c r="AZ23" s="522"/>
      <c r="BA23" s="522"/>
      <c r="BB23" s="522"/>
      <c r="BC23" s="407">
        <f t="shared" si="5"/>
        <v>0</v>
      </c>
      <c r="BD23" s="407">
        <f t="shared" si="6"/>
        <v>0</v>
      </c>
    </row>
    <row r="24" spans="2:56" s="563" customFormat="1" ht="15.75">
      <c r="B24" s="564"/>
      <c r="C24" s="565" t="s">
        <v>44</v>
      </c>
      <c r="D24" s="566" t="s">
        <v>120</v>
      </c>
      <c r="E24" s="567" t="s">
        <v>42</v>
      </c>
      <c r="F24" s="568" t="s">
        <v>121</v>
      </c>
      <c r="G24" s="569" t="s">
        <v>122</v>
      </c>
      <c r="H24" s="569" t="s">
        <v>122</v>
      </c>
      <c r="I24" s="570"/>
      <c r="J24" s="570"/>
      <c r="K24" s="570"/>
      <c r="L24" s="569"/>
      <c r="M24" s="571"/>
      <c r="N24" s="572"/>
      <c r="O24" s="572"/>
      <c r="P24" s="572"/>
      <c r="Q24" s="572"/>
      <c r="R24" s="572"/>
      <c r="S24" s="572"/>
      <c r="T24" s="573" t="s">
        <v>123</v>
      </c>
      <c r="U24" s="574">
        <v>45017</v>
      </c>
      <c r="V24" s="575">
        <v>609</v>
      </c>
      <c r="W24" s="576">
        <v>43892</v>
      </c>
      <c r="X24" s="575" t="s">
        <v>124</v>
      </c>
      <c r="Y24" s="576">
        <v>43906</v>
      </c>
      <c r="Z24" s="575"/>
      <c r="AA24" s="575"/>
      <c r="AB24" s="577">
        <v>0</v>
      </c>
      <c r="AC24" s="577">
        <v>0</v>
      </c>
      <c r="AD24" s="578"/>
      <c r="AE24" s="578"/>
      <c r="AF24" s="578">
        <v>96</v>
      </c>
      <c r="AG24" s="578">
        <v>310796.16</v>
      </c>
      <c r="AH24" s="578"/>
      <c r="AI24" s="578"/>
      <c r="AJ24" s="579">
        <f>AD24+AF24+AH24</f>
        <v>96</v>
      </c>
      <c r="AK24" s="580">
        <f>AE24+AG24+AI24</f>
        <v>310796.16</v>
      </c>
      <c r="AL24" s="579">
        <f>AB24+AJ24-AT24</f>
        <v>0</v>
      </c>
      <c r="AM24" s="581">
        <f>AC24+AK24-AU24</f>
        <v>0</v>
      </c>
      <c r="AN24" s="582">
        <v>96</v>
      </c>
      <c r="AO24" s="581">
        <v>310796.16000000003</v>
      </c>
      <c r="AP24" s="583"/>
      <c r="AQ24" s="577"/>
      <c r="AR24" s="577">
        <v>3237.46</v>
      </c>
      <c r="AS24" s="581">
        <v>0</v>
      </c>
      <c r="AT24" s="579">
        <f>SUM(AV24:BB24)</f>
        <v>96</v>
      </c>
      <c r="AU24" s="581">
        <f>AR24*AT24</f>
        <v>310796.16000000003</v>
      </c>
      <c r="AV24" s="577">
        <v>96</v>
      </c>
      <c r="AW24" s="565"/>
      <c r="AX24" s="565"/>
      <c r="AY24" s="565"/>
      <c r="AZ24" s="565"/>
      <c r="BA24" s="565"/>
      <c r="BB24" s="565"/>
      <c r="BC24" s="407">
        <f t="shared" si="5"/>
        <v>96</v>
      </c>
      <c r="BD24" s="407">
        <f t="shared" si="6"/>
        <v>0</v>
      </c>
    </row>
    <row r="25" spans="2:56" s="228" customFormat="1" ht="15.75">
      <c r="B25" s="584">
        <v>5</v>
      </c>
      <c r="C25" s="36" t="s">
        <v>44</v>
      </c>
      <c r="D25" s="65" t="s">
        <v>41</v>
      </c>
      <c r="E25" s="66" t="s">
        <v>42</v>
      </c>
      <c r="F25" s="30" t="s">
        <v>103</v>
      </c>
      <c r="G25" s="67" t="s">
        <v>43</v>
      </c>
      <c r="H25" s="67" t="s">
        <v>43</v>
      </c>
      <c r="I25" s="541">
        <v>24</v>
      </c>
      <c r="J25" s="541">
        <v>152</v>
      </c>
      <c r="K25" s="542">
        <v>2509.02</v>
      </c>
      <c r="L25" s="543">
        <v>3648</v>
      </c>
      <c r="M25" s="542">
        <v>9152904.96</v>
      </c>
      <c r="N25" s="68"/>
      <c r="O25" s="69"/>
      <c r="P25" s="68"/>
      <c r="Q25" s="69"/>
      <c r="R25" s="68"/>
      <c r="S25" s="69"/>
      <c r="T25" s="64" t="s">
        <v>45</v>
      </c>
      <c r="U25" s="70">
        <v>44682</v>
      </c>
      <c r="V25" s="71">
        <v>1865</v>
      </c>
      <c r="W25" s="72">
        <v>43390</v>
      </c>
      <c r="X25" s="71" t="s">
        <v>46</v>
      </c>
      <c r="Y25" s="73">
        <v>43395</v>
      </c>
      <c r="Z25" s="71"/>
      <c r="AA25" s="73"/>
      <c r="AB25" s="76">
        <v>3</v>
      </c>
      <c r="AC25" s="74">
        <v>8009.88</v>
      </c>
      <c r="AD25" s="75"/>
      <c r="AE25" s="74"/>
      <c r="AF25" s="75"/>
      <c r="AG25" s="74"/>
      <c r="AH25" s="75"/>
      <c r="AI25" s="74"/>
      <c r="AJ25" s="76">
        <f t="shared" si="0"/>
        <v>0</v>
      </c>
      <c r="AK25" s="180">
        <f t="shared" si="0"/>
        <v>0</v>
      </c>
      <c r="AL25" s="76">
        <f aca="true" t="shared" si="8" ref="AL25:AM37">AB25+AJ25-AT25</f>
        <v>3</v>
      </c>
      <c r="AM25" s="74">
        <f>AC25+AK25-AU25</f>
        <v>8009.88</v>
      </c>
      <c r="AN25" s="181">
        <v>0</v>
      </c>
      <c r="AO25" s="74">
        <v>0</v>
      </c>
      <c r="AP25" s="77"/>
      <c r="AQ25" s="76"/>
      <c r="AR25" s="74">
        <v>2669.96</v>
      </c>
      <c r="AS25" s="74">
        <f aca="true" t="shared" si="9" ref="AS25:AS37">AQ25*AR25</f>
        <v>0</v>
      </c>
      <c r="AT25" s="76">
        <f t="shared" si="7"/>
        <v>0</v>
      </c>
      <c r="AU25" s="74">
        <f aca="true" t="shared" si="10" ref="AU25:AU34">AR25*AT25</f>
        <v>0</v>
      </c>
      <c r="AV25" s="76">
        <f>16-12-4</f>
        <v>0</v>
      </c>
      <c r="AW25" s="76">
        <f>4-1-3</f>
        <v>0</v>
      </c>
      <c r="AX25" s="76"/>
      <c r="AY25" s="76">
        <v>0</v>
      </c>
      <c r="AZ25" s="76"/>
      <c r="BA25" s="76"/>
      <c r="BB25" s="76"/>
      <c r="BC25" s="407">
        <f t="shared" si="5"/>
        <v>0</v>
      </c>
      <c r="BD25" s="407">
        <f t="shared" si="6"/>
        <v>0</v>
      </c>
    </row>
    <row r="26" spans="2:56" s="229" customFormat="1" ht="15.75">
      <c r="B26" s="431">
        <v>6</v>
      </c>
      <c r="C26" s="80" t="s">
        <v>44</v>
      </c>
      <c r="D26" s="81" t="s">
        <v>68</v>
      </c>
      <c r="E26" s="82" t="s">
        <v>69</v>
      </c>
      <c r="F26" s="432" t="s">
        <v>104</v>
      </c>
      <c r="G26" s="83" t="s">
        <v>47</v>
      </c>
      <c r="H26" s="83" t="s">
        <v>47</v>
      </c>
      <c r="I26" s="544"/>
      <c r="J26" s="544"/>
      <c r="K26" s="545"/>
      <c r="L26" s="546"/>
      <c r="M26" s="545"/>
      <c r="N26" s="84"/>
      <c r="O26" s="87"/>
      <c r="P26" s="84"/>
      <c r="Q26" s="87"/>
      <c r="R26" s="84"/>
      <c r="S26" s="87"/>
      <c r="T26" s="80">
        <v>3093642</v>
      </c>
      <c r="U26" s="88">
        <v>44196</v>
      </c>
      <c r="V26" s="89">
        <v>1024</v>
      </c>
      <c r="W26" s="90">
        <v>43589</v>
      </c>
      <c r="X26" s="89" t="s">
        <v>70</v>
      </c>
      <c r="Y26" s="91">
        <v>43598</v>
      </c>
      <c r="Z26" s="89"/>
      <c r="AA26" s="91"/>
      <c r="AB26" s="92">
        <v>84</v>
      </c>
      <c r="AC26" s="93">
        <v>1632.630000036</v>
      </c>
      <c r="AD26" s="94"/>
      <c r="AE26" s="93"/>
      <c r="AF26" s="92"/>
      <c r="AG26" s="93"/>
      <c r="AH26" s="94"/>
      <c r="AI26" s="93"/>
      <c r="AJ26" s="92">
        <f t="shared" si="0"/>
        <v>0</v>
      </c>
      <c r="AK26" s="182">
        <f aca="true" t="shared" si="11" ref="AK26:AK34">AI26+AG26+AE26</f>
        <v>0</v>
      </c>
      <c r="AL26" s="92">
        <f t="shared" si="8"/>
        <v>84</v>
      </c>
      <c r="AM26" s="93">
        <f t="shared" si="8"/>
        <v>1632.630000036</v>
      </c>
      <c r="AN26" s="183">
        <v>0</v>
      </c>
      <c r="AO26" s="93">
        <v>0</v>
      </c>
      <c r="AP26" s="95"/>
      <c r="AQ26" s="92"/>
      <c r="AR26" s="93">
        <v>19.436071429</v>
      </c>
      <c r="AS26" s="93">
        <f aca="true" t="shared" si="12" ref="AS26:AS31">AR26*AQ26</f>
        <v>0</v>
      </c>
      <c r="AT26" s="92">
        <f t="shared" si="7"/>
        <v>0</v>
      </c>
      <c r="AU26" s="93">
        <f t="shared" si="10"/>
        <v>0</v>
      </c>
      <c r="AV26" s="92">
        <f>2156-1008-1148</f>
        <v>0</v>
      </c>
      <c r="AW26" s="92">
        <f>1008-168-336-364+1148-252-476-476-84</f>
        <v>0</v>
      </c>
      <c r="AX26" s="92"/>
      <c r="AY26" s="92"/>
      <c r="AZ26" s="92"/>
      <c r="BA26" s="92"/>
      <c r="BB26" s="92"/>
      <c r="BC26" s="96">
        <f t="shared" si="5"/>
        <v>0</v>
      </c>
      <c r="BD26" s="79">
        <f t="shared" si="6"/>
        <v>0</v>
      </c>
    </row>
    <row r="27" spans="2:56" s="469" customFormat="1" ht="15.75">
      <c r="B27" s="409">
        <v>7</v>
      </c>
      <c r="C27" s="410" t="s">
        <v>44</v>
      </c>
      <c r="D27" s="411" t="s">
        <v>83</v>
      </c>
      <c r="E27" s="468" t="s">
        <v>69</v>
      </c>
      <c r="F27" s="412" t="s">
        <v>104</v>
      </c>
      <c r="G27" s="413" t="s">
        <v>47</v>
      </c>
      <c r="H27" s="413" t="s">
        <v>47</v>
      </c>
      <c r="I27" s="547"/>
      <c r="J27" s="547"/>
      <c r="K27" s="548"/>
      <c r="L27" s="549"/>
      <c r="M27" s="548"/>
      <c r="N27" s="414"/>
      <c r="O27" s="417"/>
      <c r="P27" s="414"/>
      <c r="Q27" s="417"/>
      <c r="R27" s="414"/>
      <c r="S27" s="417"/>
      <c r="T27" s="410">
        <v>3100242</v>
      </c>
      <c r="U27" s="418">
        <v>44316</v>
      </c>
      <c r="V27" s="419">
        <v>1569</v>
      </c>
      <c r="W27" s="420">
        <v>43654</v>
      </c>
      <c r="X27" s="419" t="s">
        <v>73</v>
      </c>
      <c r="Y27" s="421">
        <v>43668</v>
      </c>
      <c r="Z27" s="419"/>
      <c r="AA27" s="421"/>
      <c r="AB27" s="422">
        <v>308</v>
      </c>
      <c r="AC27" s="423">
        <v>28643.340000044</v>
      </c>
      <c r="AD27" s="424"/>
      <c r="AE27" s="423"/>
      <c r="AF27" s="422"/>
      <c r="AG27" s="423"/>
      <c r="AH27" s="424"/>
      <c r="AI27" s="423"/>
      <c r="AJ27" s="422">
        <f t="shared" si="0"/>
        <v>0</v>
      </c>
      <c r="AK27" s="425">
        <f t="shared" si="11"/>
        <v>0</v>
      </c>
      <c r="AL27" s="422">
        <f t="shared" si="8"/>
        <v>308</v>
      </c>
      <c r="AM27" s="423">
        <f t="shared" si="8"/>
        <v>28643.340000044</v>
      </c>
      <c r="AN27" s="426">
        <v>0</v>
      </c>
      <c r="AO27" s="423">
        <v>0</v>
      </c>
      <c r="AP27" s="427"/>
      <c r="AQ27" s="422"/>
      <c r="AR27" s="423">
        <v>92.997857143</v>
      </c>
      <c r="AS27" s="423">
        <f t="shared" si="12"/>
        <v>0</v>
      </c>
      <c r="AT27" s="422">
        <f t="shared" si="7"/>
        <v>0</v>
      </c>
      <c r="AU27" s="423">
        <f t="shared" si="10"/>
        <v>0</v>
      </c>
      <c r="AV27" s="422">
        <v>0</v>
      </c>
      <c r="AW27" s="422">
        <f>308-308</f>
        <v>0</v>
      </c>
      <c r="AX27" s="422"/>
      <c r="AY27" s="422"/>
      <c r="AZ27" s="422"/>
      <c r="BA27" s="422"/>
      <c r="BB27" s="422"/>
      <c r="BC27" s="429">
        <f t="shared" si="5"/>
        <v>0</v>
      </c>
      <c r="BD27" s="429">
        <f t="shared" si="6"/>
        <v>0</v>
      </c>
    </row>
    <row r="28" spans="2:56" s="469" customFormat="1" ht="15.75">
      <c r="B28" s="409">
        <v>8</v>
      </c>
      <c r="C28" s="410" t="s">
        <v>44</v>
      </c>
      <c r="D28" s="411" t="s">
        <v>83</v>
      </c>
      <c r="E28" s="468" t="s">
        <v>69</v>
      </c>
      <c r="F28" s="412" t="s">
        <v>104</v>
      </c>
      <c r="G28" s="413" t="s">
        <v>47</v>
      </c>
      <c r="H28" s="413" t="s">
        <v>47</v>
      </c>
      <c r="I28" s="547"/>
      <c r="J28" s="547"/>
      <c r="K28" s="548"/>
      <c r="L28" s="549"/>
      <c r="M28" s="548"/>
      <c r="N28" s="414"/>
      <c r="O28" s="417"/>
      <c r="P28" s="414"/>
      <c r="Q28" s="417"/>
      <c r="R28" s="414"/>
      <c r="S28" s="417"/>
      <c r="T28" s="410">
        <v>3100059</v>
      </c>
      <c r="U28" s="418">
        <v>44316</v>
      </c>
      <c r="V28" s="419">
        <v>1613</v>
      </c>
      <c r="W28" s="420">
        <v>43658</v>
      </c>
      <c r="X28" s="419" t="s">
        <v>74</v>
      </c>
      <c r="Y28" s="421">
        <v>43668</v>
      </c>
      <c r="Z28" s="419"/>
      <c r="AA28" s="421"/>
      <c r="AB28" s="422">
        <v>2492</v>
      </c>
      <c r="AC28" s="423">
        <v>237309.59999857598</v>
      </c>
      <c r="AD28" s="424"/>
      <c r="AE28" s="423"/>
      <c r="AF28" s="422"/>
      <c r="AG28" s="423"/>
      <c r="AH28" s="424"/>
      <c r="AI28" s="423"/>
      <c r="AJ28" s="422">
        <f t="shared" si="0"/>
        <v>0</v>
      </c>
      <c r="AK28" s="425">
        <f t="shared" si="11"/>
        <v>0</v>
      </c>
      <c r="AL28" s="422">
        <f t="shared" si="8"/>
        <v>1772</v>
      </c>
      <c r="AM28" s="423">
        <f t="shared" si="8"/>
        <v>168745.02857041598</v>
      </c>
      <c r="AN28" s="426">
        <v>720</v>
      </c>
      <c r="AO28" s="423">
        <v>68564.57142816</v>
      </c>
      <c r="AP28" s="427"/>
      <c r="AQ28" s="422"/>
      <c r="AR28" s="423">
        <v>95.228571428</v>
      </c>
      <c r="AS28" s="423">
        <f t="shared" si="12"/>
        <v>0</v>
      </c>
      <c r="AT28" s="422">
        <f t="shared" si="7"/>
        <v>720</v>
      </c>
      <c r="AU28" s="423">
        <f t="shared" si="10"/>
        <v>68564.57142816</v>
      </c>
      <c r="AV28" s="422">
        <f>2520-112-756-1652</f>
        <v>0</v>
      </c>
      <c r="AW28" s="422">
        <f>112+1652-252-1380</f>
        <v>132</v>
      </c>
      <c r="AX28" s="422">
        <f>588</f>
        <v>588</v>
      </c>
      <c r="AY28" s="422"/>
      <c r="AZ28" s="422"/>
      <c r="BA28" s="428">
        <f>756-28-56-28-28-28-588</f>
        <v>0</v>
      </c>
      <c r="BB28" s="422"/>
      <c r="BC28" s="429">
        <f t="shared" si="5"/>
        <v>720</v>
      </c>
      <c r="BD28" s="429">
        <f t="shared" si="6"/>
        <v>0</v>
      </c>
    </row>
    <row r="29" spans="2:56" s="469" customFormat="1" ht="15.75">
      <c r="B29" s="409">
        <v>9</v>
      </c>
      <c r="C29" s="410" t="s">
        <v>44</v>
      </c>
      <c r="D29" s="411" t="s">
        <v>83</v>
      </c>
      <c r="E29" s="468" t="s">
        <v>69</v>
      </c>
      <c r="F29" s="412" t="s">
        <v>104</v>
      </c>
      <c r="G29" s="413" t="s">
        <v>47</v>
      </c>
      <c r="H29" s="413" t="s">
        <v>47</v>
      </c>
      <c r="I29" s="547"/>
      <c r="J29" s="547"/>
      <c r="K29" s="548"/>
      <c r="L29" s="549"/>
      <c r="M29" s="548"/>
      <c r="N29" s="414"/>
      <c r="O29" s="417"/>
      <c r="P29" s="414"/>
      <c r="Q29" s="417"/>
      <c r="R29" s="414"/>
      <c r="S29" s="417"/>
      <c r="T29" s="410">
        <v>3100243</v>
      </c>
      <c r="U29" s="418">
        <v>44347</v>
      </c>
      <c r="V29" s="419">
        <v>1990</v>
      </c>
      <c r="W29" s="420">
        <v>43738</v>
      </c>
      <c r="X29" s="419" t="s">
        <v>84</v>
      </c>
      <c r="Y29" s="421">
        <v>43745</v>
      </c>
      <c r="Z29" s="419"/>
      <c r="AA29" s="421"/>
      <c r="AB29" s="422">
        <v>84</v>
      </c>
      <c r="AC29" s="423">
        <v>7811.82</v>
      </c>
      <c r="AD29" s="424"/>
      <c r="AE29" s="423"/>
      <c r="AF29" s="422"/>
      <c r="AG29" s="423"/>
      <c r="AH29" s="424"/>
      <c r="AI29" s="423"/>
      <c r="AJ29" s="422">
        <f t="shared" si="0"/>
        <v>0</v>
      </c>
      <c r="AK29" s="425">
        <f>AI29+AG29+AE29</f>
        <v>0</v>
      </c>
      <c r="AL29" s="422">
        <f t="shared" si="8"/>
        <v>0</v>
      </c>
      <c r="AM29" s="423">
        <f t="shared" si="8"/>
        <v>0</v>
      </c>
      <c r="AN29" s="426">
        <v>84</v>
      </c>
      <c r="AO29" s="423">
        <v>7811.82</v>
      </c>
      <c r="AP29" s="427"/>
      <c r="AQ29" s="422"/>
      <c r="AR29" s="423">
        <v>92.99785714285714</v>
      </c>
      <c r="AS29" s="423">
        <f t="shared" si="12"/>
        <v>0</v>
      </c>
      <c r="AT29" s="422">
        <f t="shared" si="7"/>
        <v>84</v>
      </c>
      <c r="AU29" s="423">
        <f t="shared" si="10"/>
        <v>7811.82</v>
      </c>
      <c r="AV29" s="422">
        <f>84-84</f>
        <v>0</v>
      </c>
      <c r="AW29" s="422">
        <v>84</v>
      </c>
      <c r="AX29" s="422"/>
      <c r="AY29" s="422"/>
      <c r="AZ29" s="422"/>
      <c r="BA29" s="428"/>
      <c r="BB29" s="422"/>
      <c r="BC29" s="429">
        <f>AB29+AJ29-AL29</f>
        <v>84</v>
      </c>
      <c r="BD29" s="429">
        <f>BC29-AT29</f>
        <v>0</v>
      </c>
    </row>
    <row r="30" spans="2:56" s="469" customFormat="1" ht="15.75">
      <c r="B30" s="409">
        <v>10</v>
      </c>
      <c r="C30" s="410" t="s">
        <v>44</v>
      </c>
      <c r="D30" s="411" t="s">
        <v>83</v>
      </c>
      <c r="E30" s="468" t="s">
        <v>69</v>
      </c>
      <c r="F30" s="412" t="s">
        <v>104</v>
      </c>
      <c r="G30" s="413" t="s">
        <v>47</v>
      </c>
      <c r="H30" s="413" t="s">
        <v>47</v>
      </c>
      <c r="I30" s="547"/>
      <c r="J30" s="547"/>
      <c r="K30" s="548"/>
      <c r="L30" s="549"/>
      <c r="M30" s="548"/>
      <c r="N30" s="414"/>
      <c r="O30" s="417"/>
      <c r="P30" s="414"/>
      <c r="Q30" s="417"/>
      <c r="R30" s="414"/>
      <c r="S30" s="417"/>
      <c r="T30" s="410">
        <v>3105977</v>
      </c>
      <c r="U30" s="418">
        <v>44439</v>
      </c>
      <c r="V30" s="419">
        <v>79</v>
      </c>
      <c r="W30" s="420">
        <v>43845</v>
      </c>
      <c r="X30" s="419" t="s">
        <v>96</v>
      </c>
      <c r="Y30" s="421">
        <v>43857</v>
      </c>
      <c r="Z30" s="419"/>
      <c r="AA30" s="421"/>
      <c r="AB30" s="422">
        <v>0</v>
      </c>
      <c r="AC30" s="423">
        <v>0</v>
      </c>
      <c r="AD30" s="424">
        <v>28</v>
      </c>
      <c r="AE30" s="423">
        <v>2603.94</v>
      </c>
      <c r="AF30" s="422"/>
      <c r="AG30" s="423"/>
      <c r="AH30" s="424"/>
      <c r="AI30" s="423"/>
      <c r="AJ30" s="422">
        <f t="shared" si="0"/>
        <v>28</v>
      </c>
      <c r="AK30" s="425">
        <f>AI30+AG30+AE30</f>
        <v>2603.94</v>
      </c>
      <c r="AL30" s="422">
        <f t="shared" si="8"/>
        <v>0</v>
      </c>
      <c r="AM30" s="423">
        <f t="shared" si="8"/>
        <v>-3.999957698397338E-09</v>
      </c>
      <c r="AN30" s="426">
        <v>28</v>
      </c>
      <c r="AO30" s="423">
        <v>2603.940000004</v>
      </c>
      <c r="AP30" s="427"/>
      <c r="AQ30" s="422"/>
      <c r="AR30" s="423">
        <v>92.997857143</v>
      </c>
      <c r="AS30" s="423">
        <f t="shared" si="12"/>
        <v>0</v>
      </c>
      <c r="AT30" s="422">
        <f t="shared" si="7"/>
        <v>28</v>
      </c>
      <c r="AU30" s="423">
        <f>AR30*AT30</f>
        <v>2603.940000004</v>
      </c>
      <c r="AV30" s="422">
        <f>28-28</f>
        <v>0</v>
      </c>
      <c r="AW30" s="422">
        <f>28</f>
        <v>28</v>
      </c>
      <c r="AX30" s="422"/>
      <c r="AY30" s="422"/>
      <c r="AZ30" s="422"/>
      <c r="BA30" s="428"/>
      <c r="BB30" s="422"/>
      <c r="BC30" s="429">
        <f>AB30+AJ30-AL30</f>
        <v>28</v>
      </c>
      <c r="BD30" s="429">
        <f>BC30-AT30</f>
        <v>0</v>
      </c>
    </row>
    <row r="31" spans="2:56" s="469" customFormat="1" ht="15.75">
      <c r="B31" s="409">
        <v>11</v>
      </c>
      <c r="C31" s="410" t="s">
        <v>44</v>
      </c>
      <c r="D31" s="411" t="s">
        <v>83</v>
      </c>
      <c r="E31" s="412" t="s">
        <v>101</v>
      </c>
      <c r="F31" s="412" t="s">
        <v>104</v>
      </c>
      <c r="G31" s="413" t="s">
        <v>47</v>
      </c>
      <c r="H31" s="413" t="s">
        <v>47</v>
      </c>
      <c r="I31" s="547"/>
      <c r="J31" s="547"/>
      <c r="K31" s="548"/>
      <c r="L31" s="549"/>
      <c r="M31" s="548"/>
      <c r="N31" s="414"/>
      <c r="O31" s="417"/>
      <c r="P31" s="414"/>
      <c r="Q31" s="417"/>
      <c r="R31" s="414"/>
      <c r="S31" s="417"/>
      <c r="T31" s="410">
        <v>3105977</v>
      </c>
      <c r="U31" s="418">
        <v>44439</v>
      </c>
      <c r="V31" s="419">
        <v>280</v>
      </c>
      <c r="W31" s="420">
        <v>43868</v>
      </c>
      <c r="X31" s="419" t="s">
        <v>107</v>
      </c>
      <c r="Y31" s="421">
        <v>43878</v>
      </c>
      <c r="Z31" s="419"/>
      <c r="AA31" s="421"/>
      <c r="AB31" s="422">
        <v>0</v>
      </c>
      <c r="AC31" s="423">
        <v>0</v>
      </c>
      <c r="AD31" s="424"/>
      <c r="AE31" s="423"/>
      <c r="AF31" s="422">
        <v>1680</v>
      </c>
      <c r="AG31" s="423">
        <v>136944</v>
      </c>
      <c r="AH31" s="424"/>
      <c r="AI31" s="423"/>
      <c r="AJ31" s="422">
        <f t="shared" si="0"/>
        <v>1680</v>
      </c>
      <c r="AK31" s="425">
        <f>AI31+AG31+AE31</f>
        <v>136944</v>
      </c>
      <c r="AL31" s="422">
        <f>AB31+AJ31-AT31</f>
        <v>0</v>
      </c>
      <c r="AM31" s="423">
        <f>AC31+AK31-AU31</f>
        <v>0.0009648000122979283</v>
      </c>
      <c r="AN31" s="426">
        <v>1680</v>
      </c>
      <c r="AO31" s="423">
        <v>136943.9990352</v>
      </c>
      <c r="AP31" s="427"/>
      <c r="AQ31" s="422"/>
      <c r="AR31" s="423">
        <v>81.51428514</v>
      </c>
      <c r="AS31" s="423">
        <f t="shared" si="12"/>
        <v>0</v>
      </c>
      <c r="AT31" s="422">
        <f>SUM(AV31:BB31)</f>
        <v>1680</v>
      </c>
      <c r="AU31" s="423">
        <f>AR31*AT31</f>
        <v>136943.9990352</v>
      </c>
      <c r="AV31" s="422">
        <v>1680</v>
      </c>
      <c r="AW31" s="422"/>
      <c r="AX31" s="422"/>
      <c r="AY31" s="422"/>
      <c r="AZ31" s="422"/>
      <c r="BA31" s="428"/>
      <c r="BB31" s="422"/>
      <c r="BC31" s="429">
        <f>AB31+AJ31-AL31</f>
        <v>1680</v>
      </c>
      <c r="BD31" s="429">
        <f>BC31-AT31</f>
        <v>0</v>
      </c>
    </row>
    <row r="32" spans="2:56" s="230" customFormat="1" ht="15.75">
      <c r="B32" s="434">
        <v>12</v>
      </c>
      <c r="C32" s="98" t="s">
        <v>44</v>
      </c>
      <c r="D32" s="435" t="s">
        <v>48</v>
      </c>
      <c r="E32" s="436" t="s">
        <v>49</v>
      </c>
      <c r="F32" s="467" t="s">
        <v>105</v>
      </c>
      <c r="G32" s="99" t="s">
        <v>47</v>
      </c>
      <c r="H32" s="99" t="s">
        <v>47</v>
      </c>
      <c r="I32" s="550">
        <v>336</v>
      </c>
      <c r="J32" s="550">
        <v>152</v>
      </c>
      <c r="K32" s="551">
        <v>3.35</v>
      </c>
      <c r="L32" s="552">
        <v>51072</v>
      </c>
      <c r="M32" s="551">
        <f>K32*L32</f>
        <v>171091.2</v>
      </c>
      <c r="N32" s="100"/>
      <c r="O32" s="103"/>
      <c r="P32" s="100"/>
      <c r="Q32" s="103"/>
      <c r="R32" s="100"/>
      <c r="S32" s="103"/>
      <c r="T32" s="98">
        <v>19027411</v>
      </c>
      <c r="U32" s="104">
        <v>44347</v>
      </c>
      <c r="V32" s="105">
        <v>1786</v>
      </c>
      <c r="W32" s="106">
        <v>43690</v>
      </c>
      <c r="X32" s="105" t="s">
        <v>78</v>
      </c>
      <c r="Y32" s="107">
        <v>43696</v>
      </c>
      <c r="Z32" s="105" t="s">
        <v>79</v>
      </c>
      <c r="AA32" s="107">
        <v>43693</v>
      </c>
      <c r="AB32" s="108">
        <v>41400</v>
      </c>
      <c r="AC32" s="109">
        <v>118031.4</v>
      </c>
      <c r="AD32" s="110"/>
      <c r="AE32" s="109"/>
      <c r="AF32" s="110"/>
      <c r="AG32" s="109"/>
      <c r="AH32" s="110"/>
      <c r="AI32" s="109"/>
      <c r="AJ32" s="108">
        <f t="shared" si="0"/>
        <v>0</v>
      </c>
      <c r="AK32" s="182">
        <f t="shared" si="11"/>
        <v>0</v>
      </c>
      <c r="AL32" s="108">
        <f t="shared" si="8"/>
        <v>3690</v>
      </c>
      <c r="AM32" s="109">
        <f t="shared" si="8"/>
        <v>10520.189999999988</v>
      </c>
      <c r="AN32" s="184">
        <v>37710</v>
      </c>
      <c r="AO32" s="123">
        <v>107511.21</v>
      </c>
      <c r="AP32" s="111"/>
      <c r="AQ32" s="108"/>
      <c r="AR32" s="109">
        <v>2.851</v>
      </c>
      <c r="AS32" s="109">
        <f t="shared" si="9"/>
        <v>0</v>
      </c>
      <c r="AT32" s="108">
        <f t="shared" si="7"/>
        <v>37710</v>
      </c>
      <c r="AU32" s="109">
        <f t="shared" si="10"/>
        <v>107511.21</v>
      </c>
      <c r="AV32" s="108">
        <f>41880-41880</f>
        <v>0</v>
      </c>
      <c r="AW32" s="108">
        <f>41880-30-450-900-2790</f>
        <v>37710</v>
      </c>
      <c r="AX32" s="108"/>
      <c r="AY32" s="108"/>
      <c r="AZ32" s="108"/>
      <c r="BA32" s="438"/>
      <c r="BB32" s="108"/>
      <c r="BC32" s="429">
        <f>AB32+AJ32-AL32</f>
        <v>37710</v>
      </c>
      <c r="BD32" s="429">
        <f>BC32-AT32</f>
        <v>0</v>
      </c>
    </row>
    <row r="33" spans="2:56" s="231" customFormat="1" ht="15.75">
      <c r="B33" s="441">
        <v>13</v>
      </c>
      <c r="C33" s="112" t="s">
        <v>44</v>
      </c>
      <c r="D33" s="113" t="s">
        <v>50</v>
      </c>
      <c r="E33" s="114" t="s">
        <v>39</v>
      </c>
      <c r="F33" s="466" t="s">
        <v>106</v>
      </c>
      <c r="G33" s="115" t="s">
        <v>47</v>
      </c>
      <c r="H33" s="115" t="s">
        <v>47</v>
      </c>
      <c r="I33" s="553">
        <v>504</v>
      </c>
      <c r="J33" s="553">
        <v>895</v>
      </c>
      <c r="K33" s="554"/>
      <c r="L33" s="555">
        <v>451080</v>
      </c>
      <c r="M33" s="554">
        <f>K33*L33</f>
        <v>0</v>
      </c>
      <c r="N33" s="116"/>
      <c r="O33" s="117"/>
      <c r="P33" s="116"/>
      <c r="Q33" s="117"/>
      <c r="R33" s="116"/>
      <c r="S33" s="117"/>
      <c r="T33" s="112" t="s">
        <v>51</v>
      </c>
      <c r="U33" s="118">
        <v>44105</v>
      </c>
      <c r="V33" s="119">
        <v>1274</v>
      </c>
      <c r="W33" s="120">
        <v>43287</v>
      </c>
      <c r="X33" s="119" t="s">
        <v>52</v>
      </c>
      <c r="Y33" s="121">
        <v>43304</v>
      </c>
      <c r="Z33" s="119" t="s">
        <v>53</v>
      </c>
      <c r="AA33" s="121">
        <v>43315</v>
      </c>
      <c r="AB33" s="122">
        <v>4066</v>
      </c>
      <c r="AC33" s="123">
        <v>34980.669286876</v>
      </c>
      <c r="AD33" s="124"/>
      <c r="AE33" s="123"/>
      <c r="AF33" s="124"/>
      <c r="AG33" s="123"/>
      <c r="AH33" s="124"/>
      <c r="AI33" s="123"/>
      <c r="AJ33" s="122">
        <f t="shared" si="0"/>
        <v>0</v>
      </c>
      <c r="AK33" s="182">
        <f t="shared" si="11"/>
        <v>0</v>
      </c>
      <c r="AL33" s="122">
        <f t="shared" si="8"/>
        <v>3090</v>
      </c>
      <c r="AM33" s="123">
        <f t="shared" si="8"/>
        <v>26583.93214374</v>
      </c>
      <c r="AN33" s="185">
        <v>976</v>
      </c>
      <c r="AO33" s="123">
        <v>8396.737143136</v>
      </c>
      <c r="AP33" s="125"/>
      <c r="AQ33" s="122"/>
      <c r="AR33" s="123">
        <v>8.603214286</v>
      </c>
      <c r="AS33" s="123">
        <f t="shared" si="9"/>
        <v>0</v>
      </c>
      <c r="AT33" s="122">
        <f>SUM(AV33:BB33)</f>
        <v>976</v>
      </c>
      <c r="AU33" s="123">
        <f>AR33*AT33</f>
        <v>8396.737143136</v>
      </c>
      <c r="AV33" s="122">
        <f>20664-5576-2520-6048-4032-504-1984</f>
        <v>0</v>
      </c>
      <c r="AW33" s="122">
        <f>5576+6048-1848-2682+4032-1820-3052-4508-1746</f>
        <v>0</v>
      </c>
      <c r="AX33" s="122">
        <v>976</v>
      </c>
      <c r="AY33" s="122"/>
      <c r="AZ33" s="122"/>
      <c r="BA33" s="513">
        <f>2520-1512-504+1984-168-336-504-336-168-976</f>
        <v>0</v>
      </c>
      <c r="BB33" s="122"/>
      <c r="BC33" s="97">
        <f t="shared" si="5"/>
        <v>976</v>
      </c>
      <c r="BD33" s="79">
        <f t="shared" si="6"/>
        <v>0</v>
      </c>
    </row>
    <row r="34" spans="2:56" s="231" customFormat="1" ht="15.75">
      <c r="B34" s="441">
        <v>14</v>
      </c>
      <c r="C34" s="112" t="s">
        <v>44</v>
      </c>
      <c r="D34" s="113" t="s">
        <v>50</v>
      </c>
      <c r="E34" s="114" t="s">
        <v>39</v>
      </c>
      <c r="F34" s="466" t="s">
        <v>106</v>
      </c>
      <c r="G34" s="115" t="s">
        <v>47</v>
      </c>
      <c r="H34" s="115" t="s">
        <v>47</v>
      </c>
      <c r="I34" s="553"/>
      <c r="J34" s="553"/>
      <c r="K34" s="554"/>
      <c r="L34" s="555"/>
      <c r="M34" s="554"/>
      <c r="N34" s="116"/>
      <c r="O34" s="117"/>
      <c r="P34" s="116"/>
      <c r="Q34" s="117"/>
      <c r="R34" s="116"/>
      <c r="S34" s="117"/>
      <c r="T34" s="112" t="s">
        <v>54</v>
      </c>
      <c r="U34" s="118">
        <v>44105</v>
      </c>
      <c r="V34" s="119">
        <v>1390</v>
      </c>
      <c r="W34" s="120">
        <v>43307</v>
      </c>
      <c r="X34" s="119" t="s">
        <v>55</v>
      </c>
      <c r="Y34" s="127">
        <v>43325</v>
      </c>
      <c r="Z34" s="128" t="s">
        <v>56</v>
      </c>
      <c r="AA34" s="127">
        <v>43321</v>
      </c>
      <c r="AB34" s="122">
        <v>20496</v>
      </c>
      <c r="AC34" s="123">
        <v>176331.480005856</v>
      </c>
      <c r="AD34" s="124"/>
      <c r="AE34" s="123"/>
      <c r="AF34" s="124"/>
      <c r="AG34" s="123"/>
      <c r="AH34" s="124"/>
      <c r="AI34" s="123"/>
      <c r="AJ34" s="122">
        <f t="shared" si="0"/>
        <v>0</v>
      </c>
      <c r="AK34" s="182">
        <f t="shared" si="11"/>
        <v>0</v>
      </c>
      <c r="AL34" s="122">
        <f t="shared" si="8"/>
        <v>13598</v>
      </c>
      <c r="AM34" s="123">
        <f t="shared" si="8"/>
        <v>116986.50786102799</v>
      </c>
      <c r="AN34" s="185">
        <v>6898</v>
      </c>
      <c r="AO34" s="123">
        <v>59344.972144828</v>
      </c>
      <c r="AP34" s="125"/>
      <c r="AQ34" s="122"/>
      <c r="AR34" s="123">
        <v>8.603214286</v>
      </c>
      <c r="AS34" s="123">
        <f t="shared" si="9"/>
        <v>0</v>
      </c>
      <c r="AT34" s="122">
        <f t="shared" si="7"/>
        <v>6898</v>
      </c>
      <c r="AU34" s="123">
        <f t="shared" si="10"/>
        <v>59344.972144828</v>
      </c>
      <c r="AV34" s="122">
        <f>20496-8064-2552-9880</f>
        <v>0</v>
      </c>
      <c r="AW34" s="122">
        <f>8064-3266+9880-10332</f>
        <v>4346</v>
      </c>
      <c r="AX34" s="122">
        <v>2552</v>
      </c>
      <c r="AY34" s="122"/>
      <c r="AZ34" s="122"/>
      <c r="BA34" s="513">
        <f>2552-2552</f>
        <v>0</v>
      </c>
      <c r="BB34" s="122"/>
      <c r="BC34" s="126">
        <f t="shared" si="5"/>
        <v>6898</v>
      </c>
      <c r="BD34" s="79">
        <f t="shared" si="6"/>
        <v>0</v>
      </c>
    </row>
    <row r="35" spans="2:56" ht="15.75" hidden="1">
      <c r="B35" s="147">
        <v>12</v>
      </c>
      <c r="C35" s="5"/>
      <c r="D35" s="6"/>
      <c r="E35" s="30" t="s">
        <v>57</v>
      </c>
      <c r="F35" s="30"/>
      <c r="G35" s="31" t="s">
        <v>47</v>
      </c>
      <c r="H35" s="31" t="s">
        <v>47</v>
      </c>
      <c r="I35" s="32">
        <v>84</v>
      </c>
      <c r="J35" s="32">
        <v>895</v>
      </c>
      <c r="K35" s="33">
        <v>249.07</v>
      </c>
      <c r="L35" s="34">
        <f>I35*J35</f>
        <v>75180</v>
      </c>
      <c r="M35" s="556">
        <f>K35*L35</f>
        <v>18725082.599999998</v>
      </c>
      <c r="N35" s="32"/>
      <c r="O35" s="35"/>
      <c r="P35" s="32"/>
      <c r="Q35" s="35"/>
      <c r="R35" s="32"/>
      <c r="S35" s="35"/>
      <c r="T35" s="36"/>
      <c r="U35" s="36"/>
      <c r="V35" s="7"/>
      <c r="W35" s="8"/>
      <c r="X35" s="48"/>
      <c r="Y35" s="49"/>
      <c r="Z35" s="49"/>
      <c r="AA35" s="49"/>
      <c r="AB35" s="600">
        <v>0</v>
      </c>
      <c r="AC35" s="9">
        <v>0</v>
      </c>
      <c r="AD35" s="51"/>
      <c r="AE35" s="52"/>
      <c r="AF35" s="51"/>
      <c r="AG35" s="52"/>
      <c r="AH35" s="51"/>
      <c r="AI35" s="52"/>
      <c r="AJ35" s="3">
        <f t="shared" si="0"/>
        <v>0</v>
      </c>
      <c r="AK35" s="186">
        <f>AJ35*AR35</f>
        <v>0</v>
      </c>
      <c r="AL35" s="3">
        <f t="shared" si="8"/>
        <v>8000</v>
      </c>
      <c r="AM35" s="9">
        <f t="shared" si="8"/>
        <v>17452.58</v>
      </c>
      <c r="AN35" s="187">
        <v>0</v>
      </c>
      <c r="AO35" s="52">
        <v>0</v>
      </c>
      <c r="AP35" s="56"/>
      <c r="AQ35" s="53">
        <f>AN35-AT35</f>
        <v>0</v>
      </c>
      <c r="AR35" s="52"/>
      <c r="AS35" s="52">
        <f t="shared" si="9"/>
        <v>0</v>
      </c>
      <c r="AT35" s="3">
        <f>AN35+AP35-AQ35</f>
        <v>0</v>
      </c>
      <c r="AU35" s="9">
        <f>AT35*AR35</f>
        <v>0</v>
      </c>
      <c r="AV35" s="3">
        <v>0</v>
      </c>
      <c r="AW35" s="3"/>
      <c r="AX35" s="3"/>
      <c r="AY35" s="3"/>
      <c r="AZ35" s="3"/>
      <c r="BA35" s="3"/>
      <c r="BB35" s="3"/>
      <c r="BC35" s="10">
        <f t="shared" si="5"/>
        <v>0</v>
      </c>
      <c r="BD35" s="79">
        <f t="shared" si="6"/>
        <v>0</v>
      </c>
    </row>
    <row r="36" spans="2:56" ht="15.75" hidden="1">
      <c r="B36" s="130">
        <v>13</v>
      </c>
      <c r="C36" s="5"/>
      <c r="D36" s="6"/>
      <c r="E36" s="30" t="s">
        <v>58</v>
      </c>
      <c r="F36" s="30"/>
      <c r="G36" s="31" t="s">
        <v>47</v>
      </c>
      <c r="H36" s="31" t="s">
        <v>47</v>
      </c>
      <c r="I36" s="32"/>
      <c r="J36" s="32"/>
      <c r="K36" s="33">
        <v>35.36</v>
      </c>
      <c r="L36" s="34">
        <f>I36*J36</f>
        <v>0</v>
      </c>
      <c r="M36" s="556">
        <f>K36*L36</f>
        <v>0</v>
      </c>
      <c r="N36" s="32"/>
      <c r="O36" s="35"/>
      <c r="P36" s="32"/>
      <c r="Q36" s="35"/>
      <c r="R36" s="32"/>
      <c r="S36" s="35"/>
      <c r="T36" s="36"/>
      <c r="U36" s="36"/>
      <c r="V36" s="7"/>
      <c r="W36" s="8"/>
      <c r="X36" s="48"/>
      <c r="Y36" s="49"/>
      <c r="Z36" s="49"/>
      <c r="AA36" s="49"/>
      <c r="AB36" s="600">
        <v>0</v>
      </c>
      <c r="AC36" s="9">
        <v>0</v>
      </c>
      <c r="AD36" s="51"/>
      <c r="AE36" s="52"/>
      <c r="AF36" s="51"/>
      <c r="AG36" s="52"/>
      <c r="AH36" s="51"/>
      <c r="AI36" s="52"/>
      <c r="AJ36" s="3">
        <f t="shared" si="0"/>
        <v>0</v>
      </c>
      <c r="AK36" s="186">
        <f>AJ36*AR36</f>
        <v>0</v>
      </c>
      <c r="AL36" s="3">
        <f t="shared" si="8"/>
        <v>8000</v>
      </c>
      <c r="AM36" s="9">
        <f t="shared" si="8"/>
        <v>17452.58</v>
      </c>
      <c r="AN36" s="187">
        <v>0</v>
      </c>
      <c r="AO36" s="52">
        <v>0</v>
      </c>
      <c r="AP36" s="56"/>
      <c r="AQ36" s="53">
        <f>AN36-AT36</f>
        <v>0</v>
      </c>
      <c r="AR36" s="52"/>
      <c r="AS36" s="52">
        <f t="shared" si="9"/>
        <v>0</v>
      </c>
      <c r="AT36" s="3">
        <f>AN36+AP36-AQ36</f>
        <v>0</v>
      </c>
      <c r="AU36" s="9">
        <f>AT36*AR36</f>
        <v>0</v>
      </c>
      <c r="AV36" s="3">
        <v>0</v>
      </c>
      <c r="AW36" s="3"/>
      <c r="AX36" s="3"/>
      <c r="AY36" s="3"/>
      <c r="AZ36" s="3"/>
      <c r="BA36" s="3"/>
      <c r="BB36" s="3"/>
      <c r="BC36" s="10">
        <f t="shared" si="5"/>
        <v>0</v>
      </c>
      <c r="BD36" s="79">
        <f t="shared" si="6"/>
        <v>0</v>
      </c>
    </row>
    <row r="37" spans="2:56" ht="15.75" hidden="1">
      <c r="B37" s="130">
        <v>14</v>
      </c>
      <c r="C37" s="5"/>
      <c r="D37" s="6" t="s">
        <v>59</v>
      </c>
      <c r="E37" s="30" t="s">
        <v>60</v>
      </c>
      <c r="F37" s="30"/>
      <c r="G37" s="31" t="s">
        <v>47</v>
      </c>
      <c r="H37" s="31" t="s">
        <v>47</v>
      </c>
      <c r="I37" s="32"/>
      <c r="J37" s="32"/>
      <c r="K37" s="33">
        <v>35.36</v>
      </c>
      <c r="L37" s="34">
        <f>I37*J37</f>
        <v>0</v>
      </c>
      <c r="M37" s="556">
        <f>K37*L37</f>
        <v>0</v>
      </c>
      <c r="N37" s="32"/>
      <c r="O37" s="35"/>
      <c r="P37" s="32"/>
      <c r="Q37" s="35"/>
      <c r="R37" s="32"/>
      <c r="S37" s="35"/>
      <c r="T37" s="36"/>
      <c r="U37" s="36"/>
      <c r="V37" s="7"/>
      <c r="W37" s="8"/>
      <c r="X37" s="48"/>
      <c r="Y37" s="49"/>
      <c r="Z37" s="49"/>
      <c r="AA37" s="49"/>
      <c r="AB37" s="600">
        <v>0</v>
      </c>
      <c r="AC37" s="9">
        <v>0</v>
      </c>
      <c r="AD37" s="51"/>
      <c r="AE37" s="52"/>
      <c r="AF37" s="51"/>
      <c r="AG37" s="52"/>
      <c r="AH37" s="51"/>
      <c r="AI37" s="52"/>
      <c r="AJ37" s="3">
        <f>AD37+AF37+AH37</f>
        <v>0</v>
      </c>
      <c r="AK37" s="186">
        <f>AJ37*AR37</f>
        <v>0</v>
      </c>
      <c r="AL37" s="3">
        <f t="shared" si="8"/>
        <v>8000</v>
      </c>
      <c r="AM37" s="9">
        <f t="shared" si="8"/>
        <v>17452.58</v>
      </c>
      <c r="AN37" s="187">
        <v>0</v>
      </c>
      <c r="AO37" s="52">
        <v>0</v>
      </c>
      <c r="AP37" s="56"/>
      <c r="AQ37" s="53">
        <f>AN37-AT37</f>
        <v>0</v>
      </c>
      <c r="AR37" s="52"/>
      <c r="AS37" s="52">
        <f t="shared" si="9"/>
        <v>0</v>
      </c>
      <c r="AT37" s="3">
        <f>AN37+AP37-AQ37</f>
        <v>0</v>
      </c>
      <c r="AU37" s="9">
        <f>AT37*AR37</f>
        <v>0</v>
      </c>
      <c r="AV37" s="3">
        <v>0</v>
      </c>
      <c r="AW37" s="3"/>
      <c r="AX37" s="3"/>
      <c r="AY37" s="3"/>
      <c r="AZ37" s="3"/>
      <c r="BA37" s="3"/>
      <c r="BB37" s="3"/>
      <c r="BC37" s="10">
        <f t="shared" si="5"/>
        <v>0</v>
      </c>
      <c r="BD37" s="79">
        <f t="shared" si="6"/>
        <v>0</v>
      </c>
    </row>
    <row r="38" spans="2:56" s="232" customFormat="1" ht="15.75">
      <c r="B38" s="147"/>
      <c r="C38" s="610" t="s">
        <v>61</v>
      </c>
      <c r="D38" s="610"/>
      <c r="E38" s="610"/>
      <c r="F38" s="610"/>
      <c r="G38" s="610"/>
      <c r="H38" s="610"/>
      <c r="I38" s="150"/>
      <c r="J38" s="150"/>
      <c r="K38" s="151"/>
      <c r="L38" s="151"/>
      <c r="M38" s="151">
        <f>SUM(M17:M34)</f>
        <v>44995095.96</v>
      </c>
      <c r="N38" s="151">
        <f aca="true" t="shared" si="13" ref="N38:S38">SUM(N21:O34)</f>
        <v>0</v>
      </c>
      <c r="O38" s="151">
        <f t="shared" si="13"/>
        <v>0</v>
      </c>
      <c r="P38" s="151">
        <f t="shared" si="13"/>
        <v>0</v>
      </c>
      <c r="Q38" s="151">
        <f t="shared" si="13"/>
        <v>0</v>
      </c>
      <c r="R38" s="151">
        <f t="shared" si="13"/>
        <v>0</v>
      </c>
      <c r="S38" s="151">
        <f t="shared" si="13"/>
        <v>43838391</v>
      </c>
      <c r="T38" s="152"/>
      <c r="U38" s="152"/>
      <c r="V38" s="153"/>
      <c r="W38" s="153"/>
      <c r="X38" s="152"/>
      <c r="Y38" s="152"/>
      <c r="Z38" s="152"/>
      <c r="AA38" s="152"/>
      <c r="AB38" s="154">
        <f>SUM(AB17:AB37)</f>
        <v>69997</v>
      </c>
      <c r="AC38" s="154">
        <f aca="true" t="shared" si="14" ref="AC38:AK38">SUM(AC17:AC37)</f>
        <v>646430.599290932</v>
      </c>
      <c r="AD38" s="154">
        <f t="shared" si="14"/>
        <v>616</v>
      </c>
      <c r="AE38" s="154">
        <f t="shared" si="14"/>
        <v>21451.23</v>
      </c>
      <c r="AF38" s="154">
        <f t="shared" si="14"/>
        <v>12640</v>
      </c>
      <c r="AG38" s="154">
        <f t="shared" si="14"/>
        <v>2704437.86</v>
      </c>
      <c r="AH38" s="154">
        <f t="shared" si="14"/>
        <v>0</v>
      </c>
      <c r="AI38" s="154">
        <f t="shared" si="14"/>
        <v>0</v>
      </c>
      <c r="AJ38" s="154">
        <f t="shared" si="14"/>
        <v>13256</v>
      </c>
      <c r="AK38" s="154">
        <f t="shared" si="14"/>
        <v>2725889.09</v>
      </c>
      <c r="AL38" s="154">
        <f aca="true" t="shared" si="15" ref="AL38:AQ38">SUM(AL17:AL34)</f>
        <v>23917</v>
      </c>
      <c r="AM38" s="154">
        <f t="shared" si="15"/>
        <v>2651498.9895396032</v>
      </c>
      <c r="AN38" s="154">
        <f t="shared" si="15"/>
        <v>59336</v>
      </c>
      <c r="AO38" s="154">
        <f t="shared" si="15"/>
        <v>2967646.0097510484</v>
      </c>
      <c r="AP38" s="154">
        <f t="shared" si="15"/>
        <v>0</v>
      </c>
      <c r="AQ38" s="154">
        <f t="shared" si="15"/>
        <v>0</v>
      </c>
      <c r="AR38" s="155" t="s">
        <v>40</v>
      </c>
      <c r="AS38" s="155">
        <f aca="true" t="shared" si="16" ref="AS38:BB38">SUM(AS17:AS34)</f>
        <v>0</v>
      </c>
      <c r="AT38" s="155">
        <f t="shared" si="16"/>
        <v>59336</v>
      </c>
      <c r="AU38" s="155">
        <f t="shared" si="16"/>
        <v>2967646.0097510484</v>
      </c>
      <c r="AV38" s="155">
        <f t="shared" si="16"/>
        <v>12640</v>
      </c>
      <c r="AW38" s="155">
        <f>SUM(AW17:AW34)</f>
        <v>42580</v>
      </c>
      <c r="AX38" s="155">
        <f t="shared" si="16"/>
        <v>4116</v>
      </c>
      <c r="AY38" s="155">
        <f>SUM(AY17:AY34)</f>
        <v>0</v>
      </c>
      <c r="AZ38" s="155">
        <f t="shared" si="16"/>
        <v>0</v>
      </c>
      <c r="BA38" s="155">
        <f t="shared" si="16"/>
        <v>0</v>
      </c>
      <c r="BB38" s="155">
        <f t="shared" si="16"/>
        <v>0</v>
      </c>
      <c r="BC38" s="156">
        <f t="shared" si="5"/>
        <v>59336</v>
      </c>
      <c r="BD38" s="157">
        <f t="shared" si="6"/>
        <v>0</v>
      </c>
    </row>
    <row r="39" spans="48:56" ht="15.75">
      <c r="AV39" s="1"/>
      <c r="BC39" s="10">
        <f t="shared" si="5"/>
        <v>0</v>
      </c>
      <c r="BD39" s="79">
        <f t="shared" si="6"/>
        <v>0</v>
      </c>
    </row>
    <row r="40" spans="3:56" ht="18.75" hidden="1">
      <c r="C40" s="21"/>
      <c r="D40" s="22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42"/>
      <c r="V40" s="22"/>
      <c r="W40" s="22"/>
      <c r="X40" s="40"/>
      <c r="Y40" s="40"/>
      <c r="Z40" s="40"/>
      <c r="AA40" s="40"/>
      <c r="AB40" s="23">
        <v>25627</v>
      </c>
      <c r="AC40" s="24">
        <v>429721.02999999997</v>
      </c>
      <c r="AD40" s="46">
        <v>2489</v>
      </c>
      <c r="AE40" s="46">
        <v>238467.40999999997</v>
      </c>
      <c r="AF40" s="46">
        <v>43857</v>
      </c>
      <c r="AG40" s="46">
        <v>1030797.06</v>
      </c>
      <c r="AH40" s="46">
        <v>0</v>
      </c>
      <c r="AI40" s="46">
        <v>0</v>
      </c>
      <c r="AJ40" s="25">
        <v>46346</v>
      </c>
      <c r="AK40" s="190">
        <v>1269264.4699921182</v>
      </c>
      <c r="AL40" s="23">
        <v>5305</v>
      </c>
      <c r="AM40" s="24">
        <v>209811.62</v>
      </c>
      <c r="AN40" s="191">
        <v>66668</v>
      </c>
      <c r="AO40" s="59">
        <v>1489173.879992118</v>
      </c>
      <c r="AP40" s="60">
        <v>0</v>
      </c>
      <c r="AQ40" s="61">
        <v>0</v>
      </c>
      <c r="AR40" s="29" t="s">
        <v>40</v>
      </c>
      <c r="AS40" s="29">
        <v>0</v>
      </c>
      <c r="AT40" s="26">
        <v>66668</v>
      </c>
      <c r="AU40" s="27">
        <v>1489173.879992118</v>
      </c>
      <c r="AV40" s="28">
        <f>AB38+AJ38-AL38</f>
        <v>59336</v>
      </c>
      <c r="AW40" s="28"/>
      <c r="AY40" s="28"/>
      <c r="BC40" s="10">
        <f t="shared" si="5"/>
        <v>66668</v>
      </c>
      <c r="BD40" s="10">
        <f t="shared" si="6"/>
        <v>0</v>
      </c>
    </row>
    <row r="41" spans="1:55" s="16" customFormat="1" ht="20.25">
      <c r="A41" s="13"/>
      <c r="B41" s="14"/>
      <c r="C41" s="13" t="s">
        <v>80</v>
      </c>
      <c r="D41" s="14"/>
      <c r="E41" s="43" t="s">
        <v>62</v>
      </c>
      <c r="F41" s="43"/>
      <c r="G41" s="44"/>
      <c r="H41" s="43"/>
      <c r="I41" s="43" t="s">
        <v>63</v>
      </c>
      <c r="J41" s="4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17"/>
      <c r="W41" s="15"/>
      <c r="X41" s="43"/>
      <c r="Y41" s="44"/>
      <c r="Z41" s="43"/>
      <c r="AA41" s="43"/>
      <c r="AB41" s="13"/>
      <c r="AC41" s="15" t="s">
        <v>77</v>
      </c>
      <c r="AD41" s="43"/>
      <c r="AE41" s="54"/>
      <c r="AF41" s="43"/>
      <c r="AG41" s="43"/>
      <c r="AH41" s="43"/>
      <c r="AI41" s="43"/>
      <c r="AJ41" s="13"/>
      <c r="AK41" s="192"/>
      <c r="AL41" s="13"/>
      <c r="AM41" s="18"/>
      <c r="AN41" s="193"/>
      <c r="AO41" s="54"/>
      <c r="AP41" s="146"/>
      <c r="AQ41" s="129"/>
      <c r="AR41" s="62"/>
      <c r="AS41" s="63"/>
      <c r="AT41" s="14"/>
      <c r="AU41" s="19"/>
      <c r="AV41" s="20"/>
      <c r="AW41" s="20"/>
      <c r="AX41" s="14"/>
      <c r="AY41" s="20"/>
      <c r="AZ41" s="14"/>
      <c r="BA41" s="14"/>
      <c r="BB41" s="14"/>
      <c r="BC41" s="14"/>
    </row>
    <row r="42" spans="1:55" s="16" customFormat="1" ht="20.25" hidden="1">
      <c r="A42" s="13"/>
      <c r="B42" s="14"/>
      <c r="C42" s="13"/>
      <c r="D42" s="14"/>
      <c r="E42" s="233"/>
      <c r="F42" s="233"/>
      <c r="G42" s="43"/>
      <c r="H42" s="43"/>
      <c r="I42" s="43"/>
      <c r="J42" s="43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17"/>
      <c r="W42" s="15"/>
      <c r="X42" s="43"/>
      <c r="Y42" s="44"/>
      <c r="Z42" s="43"/>
      <c r="AA42" s="43"/>
      <c r="AB42" s="13"/>
      <c r="AC42" s="15"/>
      <c r="AD42" s="43"/>
      <c r="AE42" s="43"/>
      <c r="AF42" s="43"/>
      <c r="AG42" s="43"/>
      <c r="AH42" s="43"/>
      <c r="AI42" s="43"/>
      <c r="AJ42" s="13"/>
      <c r="AK42" s="192"/>
      <c r="AL42" s="13"/>
      <c r="AM42" s="15"/>
      <c r="AN42" s="193"/>
      <c r="AO42" s="43"/>
      <c r="AP42" s="234"/>
      <c r="AQ42" s="129"/>
      <c r="AR42" s="62"/>
      <c r="AS42" s="235"/>
      <c r="AT42" s="14"/>
      <c r="AU42" s="27"/>
      <c r="AV42" s="20"/>
      <c r="AW42" s="20"/>
      <c r="AX42" s="236"/>
      <c r="AY42" s="20"/>
      <c r="AZ42" s="14"/>
      <c r="BA42" s="14"/>
      <c r="BB42" s="14"/>
      <c r="BC42" s="14"/>
    </row>
    <row r="43" spans="1:55" s="16" customFormat="1" ht="20.25" hidden="1">
      <c r="A43" s="13"/>
      <c r="B43" s="14"/>
      <c r="C43" s="13"/>
      <c r="D43" s="14"/>
      <c r="E43" s="233"/>
      <c r="F43" s="233"/>
      <c r="G43" s="43"/>
      <c r="H43" s="43"/>
      <c r="I43" s="43"/>
      <c r="J43" s="4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17"/>
      <c r="W43" s="15"/>
      <c r="X43" s="43"/>
      <c r="Y43" s="44"/>
      <c r="Z43" s="43"/>
      <c r="AA43" s="43"/>
      <c r="AB43" s="13"/>
      <c r="AC43" s="237"/>
      <c r="AD43" s="43"/>
      <c r="AE43" s="43"/>
      <c r="AF43" s="43"/>
      <c r="AG43" s="43"/>
      <c r="AH43" s="43"/>
      <c r="AI43" s="43"/>
      <c r="AJ43" s="13"/>
      <c r="AK43" s="192"/>
      <c r="AL43" s="13"/>
      <c r="AM43" s="15"/>
      <c r="AN43" s="193"/>
      <c r="AO43" s="43"/>
      <c r="AP43" s="234"/>
      <c r="AQ43" s="129"/>
      <c r="AR43" s="62"/>
      <c r="AS43" s="235"/>
      <c r="AT43" s="14"/>
      <c r="AU43" s="238"/>
      <c r="AV43" s="14"/>
      <c r="AW43" s="14"/>
      <c r="AX43" s="14"/>
      <c r="AY43" s="14"/>
      <c r="AZ43" s="14"/>
      <c r="BA43" s="14"/>
      <c r="BB43" s="14"/>
      <c r="BC43" s="14"/>
    </row>
    <row r="44" spans="1:55" s="16" customFormat="1" ht="20.25">
      <c r="A44" s="239"/>
      <c r="B44" s="198" t="s">
        <v>72</v>
      </c>
      <c r="C44" s="604" t="s">
        <v>134</v>
      </c>
      <c r="D44" s="14"/>
      <c r="E44" s="240"/>
      <c r="F44" s="240"/>
      <c r="G44" s="241"/>
      <c r="H44" s="241"/>
      <c r="I44" s="242"/>
      <c r="J44" s="242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17"/>
      <c r="W44" s="238"/>
      <c r="X44" s="243"/>
      <c r="Y44" s="44"/>
      <c r="Z44" s="44"/>
      <c r="AA44" s="44"/>
      <c r="AB44" s="239"/>
      <c r="AC44" s="244"/>
      <c r="AD44" s="44"/>
      <c r="AE44" s="44"/>
      <c r="AF44" s="44"/>
      <c r="AG44" s="44"/>
      <c r="AH44" s="44"/>
      <c r="AI44" s="44"/>
      <c r="AJ44" s="239"/>
      <c r="AK44" s="245"/>
      <c r="AL44" s="246"/>
      <c r="AM44" s="247"/>
      <c r="AN44" s="248"/>
      <c r="AO44" s="249"/>
      <c r="AP44" s="234"/>
      <c r="AQ44" s="129"/>
      <c r="AR44" s="62"/>
      <c r="AS44" s="235"/>
      <c r="AT44" s="14"/>
      <c r="AU44" s="238"/>
      <c r="AV44" s="14"/>
      <c r="AW44" s="14"/>
      <c r="AX44" s="14"/>
      <c r="AY44" s="14"/>
      <c r="AZ44" s="14"/>
      <c r="BA44" s="14"/>
      <c r="BB44" s="14"/>
      <c r="BC44" s="14"/>
    </row>
    <row r="45" spans="1:55" s="16" customFormat="1" ht="15.75" customHeight="1">
      <c r="A45" s="250"/>
      <c r="B45" s="251"/>
      <c r="C45" s="667" t="s">
        <v>64</v>
      </c>
      <c r="D45" s="251"/>
      <c r="E45" s="252" t="s">
        <v>64</v>
      </c>
      <c r="F45" s="252"/>
      <c r="G45" s="44"/>
      <c r="H45" s="252"/>
      <c r="I45" s="668" t="s">
        <v>65</v>
      </c>
      <c r="J45" s="668"/>
      <c r="K45" s="668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4"/>
      <c r="W45" s="255"/>
      <c r="X45" s="256"/>
      <c r="Y45" s="44"/>
      <c r="Z45" s="43"/>
      <c r="AA45" s="252"/>
      <c r="AB45" s="250"/>
      <c r="AC45" s="257" t="s">
        <v>65</v>
      </c>
      <c r="AD45" s="252"/>
      <c r="AE45" s="252"/>
      <c r="AF45" s="252"/>
      <c r="AG45" s="252"/>
      <c r="AH45" s="252"/>
      <c r="AI45" s="252"/>
      <c r="AJ45" s="250"/>
      <c r="AK45" s="258"/>
      <c r="AL45" s="250"/>
      <c r="AM45" s="259"/>
      <c r="AN45" s="260"/>
      <c r="AO45" s="252"/>
      <c r="AP45" s="261"/>
      <c r="AQ45" s="262"/>
      <c r="AR45" s="62"/>
      <c r="AS45" s="235"/>
      <c r="AT45" s="14"/>
      <c r="AU45" s="238"/>
      <c r="AV45" s="14"/>
      <c r="AW45" s="14"/>
      <c r="AX45" s="14"/>
      <c r="AY45" s="14"/>
      <c r="AZ45" s="14"/>
      <c r="BA45" s="14"/>
      <c r="BB45" s="14"/>
      <c r="BC45" s="14"/>
    </row>
    <row r="46" spans="1:55" s="269" customFormat="1" ht="18.75">
      <c r="A46" s="24"/>
      <c r="B46" s="198"/>
      <c r="C46" s="667"/>
      <c r="D46" s="198"/>
      <c r="E46" s="46"/>
      <c r="F46" s="46"/>
      <c r="G46" s="217"/>
      <c r="H46" s="217"/>
      <c r="I46" s="217"/>
      <c r="J46" s="217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263"/>
      <c r="W46" s="216"/>
      <c r="X46" s="217"/>
      <c r="Y46" s="217"/>
      <c r="Z46" s="217"/>
      <c r="AA46" s="217"/>
      <c r="AB46" s="264"/>
      <c r="AC46" s="216"/>
      <c r="AD46" s="217"/>
      <c r="AE46" s="217"/>
      <c r="AF46" s="217"/>
      <c r="AG46" s="217"/>
      <c r="AH46" s="217"/>
      <c r="AI46" s="217"/>
      <c r="AJ46" s="264"/>
      <c r="AK46" s="218"/>
      <c r="AL46" s="264"/>
      <c r="AM46" s="216"/>
      <c r="AN46" s="265"/>
      <c r="AO46" s="217"/>
      <c r="AP46" s="266"/>
      <c r="AQ46" s="267"/>
      <c r="AR46" s="268"/>
      <c r="AS46" s="61"/>
      <c r="AT46" s="26"/>
      <c r="AU46" s="198"/>
      <c r="AV46" s="26"/>
      <c r="AW46" s="26"/>
      <c r="AX46" s="26"/>
      <c r="AY46" s="26"/>
      <c r="AZ46" s="26"/>
      <c r="BA46" s="26"/>
      <c r="BB46" s="26"/>
      <c r="BC46" s="26"/>
    </row>
  </sheetData>
  <sheetProtection/>
  <mergeCells count="43">
    <mergeCell ref="AT15:AU15"/>
    <mergeCell ref="AV15:BB15"/>
    <mergeCell ref="C38:H38"/>
    <mergeCell ref="C45:C46"/>
    <mergeCell ref="I45:K45"/>
    <mergeCell ref="AN14:AO15"/>
    <mergeCell ref="AP14:AP15"/>
    <mergeCell ref="AQ14:AS15"/>
    <mergeCell ref="AT14:BB14"/>
    <mergeCell ref="N15:O15"/>
    <mergeCell ref="AD15:AE15"/>
    <mergeCell ref="AF15:AG15"/>
    <mergeCell ref="AH15:AI15"/>
    <mergeCell ref="X14:Y15"/>
    <mergeCell ref="Z14:AA15"/>
    <mergeCell ref="AB14:AC15"/>
    <mergeCell ref="AD14:AI14"/>
    <mergeCell ref="AJ14:AK15"/>
    <mergeCell ref="AL14:AM15"/>
    <mergeCell ref="K14:K16"/>
    <mergeCell ref="L14:M15"/>
    <mergeCell ref="N14:S14"/>
    <mergeCell ref="T14:T16"/>
    <mergeCell ref="U14:U16"/>
    <mergeCell ref="V14:W15"/>
    <mergeCell ref="P15:Q15"/>
    <mergeCell ref="R15:S15"/>
    <mergeCell ref="AP13:AX13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C6:AX6"/>
    <mergeCell ref="C7:AX7"/>
    <mergeCell ref="C8:AX8"/>
    <mergeCell ref="C9:AX9"/>
    <mergeCell ref="C10:AX10"/>
    <mergeCell ref="C11:AX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180" verticalDpi="18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Oksana_Vyshovska</dc:creator>
  <cp:keywords/>
  <dc:description/>
  <cp:lastModifiedBy>Komputer</cp:lastModifiedBy>
  <cp:lastPrinted>2020-07-02T06:31:12Z</cp:lastPrinted>
  <dcterms:created xsi:type="dcterms:W3CDTF">2019-01-15T13:22:22Z</dcterms:created>
  <dcterms:modified xsi:type="dcterms:W3CDTF">2020-07-03T06:48:52Z</dcterms:modified>
  <cp:category/>
  <cp:version/>
  <cp:contentType/>
  <cp:contentStatus/>
</cp:coreProperties>
</file>